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tables/table4.xml" ContentType="application/vnd.openxmlformats-officedocument.spreadsheetml.table+xml"/>
  <Override PartName="/xl/tables/table25.xml" ContentType="application/vnd.openxmlformats-officedocument.spreadsheetml.table+xml"/>
  <Override PartName="/xl/tables/table43.xml" ContentType="application/vnd.openxmlformats-officedocument.spreadsheetml.table+xml"/>
  <Override PartName="/xl/tables/table54.xml" ContentType="application/vnd.openxmlformats-officedocument.spreadsheetml.table+xml"/>
  <Override PartName="/xl/tables/table72.xml" ContentType="application/vnd.openxmlformats-officedocument.spreadsheetml.table+xml"/>
  <Override PartName="/xl/tables/table90.xml" ContentType="application/vnd.openxmlformats-officedocument.spreadsheetml.table+xml"/>
  <Override PartName="/xl/tables/table101.xml" ContentType="application/vnd.openxmlformats-officedocument.spreadsheetml.table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tables/table14.xml" ContentType="application/vnd.openxmlformats-officedocument.spreadsheetml.table+xml"/>
  <Override PartName="/xl/tables/table32.xml" ContentType="application/vnd.openxmlformats-officedocument.spreadsheetml.table+xml"/>
  <Override PartName="/xl/tables/table61.xml" ContentType="application/vnd.openxmlformats-officedocument.spreadsheetml.table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tables/table50.xml" ContentType="application/vnd.openxmlformats-officedocument.spreadsheetml.table+xml"/>
  <Default Extension="xml" ContentType="application/xml"/>
  <Override PartName="/xl/tables/table10.xml" ContentType="application/vnd.openxmlformats-officedocument.spreadsheetml.table+xml"/>
  <Override PartName="/xl/worksheets/sheet3.xml" ContentType="application/vnd.openxmlformats-officedocument.spreadsheetml.worksheet+xml"/>
  <Override PartName="/xl/tables/table99.xml" ContentType="application/vnd.openxmlformats-officedocument.spreadsheetml.table+xml"/>
  <Override PartName="/xl/tables/table9.xml" ContentType="application/vnd.openxmlformats-officedocument.spreadsheetml.table+xml"/>
  <Override PartName="/xl/tables/table59.xml" ContentType="application/vnd.openxmlformats-officedocument.spreadsheetml.table+xml"/>
  <Override PartName="/xl/tables/table88.xml" ContentType="application/vnd.openxmlformats-officedocument.spreadsheetml.table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tables/table19.xml" ContentType="application/vnd.openxmlformats-officedocument.spreadsheetml.table+xml"/>
  <Override PartName="/xl/tables/table48.xml" ContentType="application/vnd.openxmlformats-officedocument.spreadsheetml.table+xml"/>
  <Override PartName="/xl/tables/table66.xml" ContentType="application/vnd.openxmlformats-officedocument.spreadsheetml.table+xml"/>
  <Override PartName="/xl/tables/table77.xml" ContentType="application/vnd.openxmlformats-officedocument.spreadsheetml.table+xml"/>
  <Override PartName="/xl/tables/table95.xml" ContentType="application/vnd.openxmlformats-officedocument.spreadsheetml.table+xml"/>
  <Override PartName="/xl/tables/table106.xml" ContentType="application/vnd.openxmlformats-officedocument.spreadsheetml.table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tables/table5.xml" ContentType="application/vnd.openxmlformats-officedocument.spreadsheetml.table+xml"/>
  <Override PartName="/xl/tables/table26.xml" ContentType="application/vnd.openxmlformats-officedocument.spreadsheetml.table+xml"/>
  <Override PartName="/xl/tables/table37.xml" ContentType="application/vnd.openxmlformats-officedocument.spreadsheetml.table+xml"/>
  <Override PartName="/xl/tables/table55.xml" ContentType="application/vnd.openxmlformats-officedocument.spreadsheetml.table+xml"/>
  <Override PartName="/xl/tables/table73.xml" ContentType="application/vnd.openxmlformats-officedocument.spreadsheetml.table+xml"/>
  <Override PartName="/xl/tables/table84.xml" ContentType="application/vnd.openxmlformats-officedocument.spreadsheetml.table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tables/table15.xml" ContentType="application/vnd.openxmlformats-officedocument.spreadsheetml.table+xml"/>
  <Override PartName="/xl/tables/table44.xml" ContentType="application/vnd.openxmlformats-officedocument.spreadsheetml.table+xml"/>
  <Override PartName="/xl/tables/table62.xml" ContentType="application/vnd.openxmlformats-officedocument.spreadsheetml.table+xml"/>
  <Override PartName="/xl/tables/table91.xml" ContentType="application/vnd.openxmlformats-officedocument.spreadsheetml.table+xml"/>
  <Override PartName="/xl/tables/table102.xml" ContentType="application/vnd.openxmlformats-officedocument.spreadsheetml.table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tables/table1.xml" ContentType="application/vnd.openxmlformats-officedocument.spreadsheetml.table+xml"/>
  <Override PartName="/xl/tables/table22.xml" ContentType="application/vnd.openxmlformats-officedocument.spreadsheetml.table+xml"/>
  <Override PartName="/xl/tables/table33.xml" ContentType="application/vnd.openxmlformats-officedocument.spreadsheetml.table+xml"/>
  <Override PartName="/xl/tables/table51.xml" ContentType="application/vnd.openxmlformats-officedocument.spreadsheetml.table+xml"/>
  <Override PartName="/xl/tables/table80.xml" ContentType="application/vnd.openxmlformats-officedocument.spreadsheetml.table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tables/table40.xml" ContentType="application/vnd.openxmlformats-officedocument.spreadsheetml.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tables/table89.xml" ContentType="application/vnd.openxmlformats-officedocument.spreadsheetml.table+xml"/>
  <Override PartName="/xl/tables/table49.xml" ContentType="application/vnd.openxmlformats-officedocument.spreadsheetml.table+xml"/>
  <Override PartName="/xl/tables/table69.xml" ContentType="application/vnd.openxmlformats-officedocument.spreadsheetml.table+xml"/>
  <Override PartName="/xl/tables/table78.xml" ContentType="application/vnd.openxmlformats-officedocument.spreadsheetml.table+xml"/>
  <Override PartName="/xl/tables/table87.xml" ContentType="application/vnd.openxmlformats-officedocument.spreadsheetml.table+xml"/>
  <Override PartName="/xl/tables/table96.xml" ContentType="application/vnd.openxmlformats-officedocument.spreadsheetml.table+xml"/>
  <Override PartName="/xl/tables/table98.xml" ContentType="application/vnd.openxmlformats-officedocument.spreadsheetml.table+xml"/>
  <Override PartName="/xl/tables/table107.xml" ContentType="application/vnd.openxmlformats-officedocument.spreadsheetml.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tables/table8.xml" ContentType="application/vnd.openxmlformats-officedocument.spreadsheetml.table+xml"/>
  <Override PartName="/xl/tables/table29.xml" ContentType="application/vnd.openxmlformats-officedocument.spreadsheetml.table+xml"/>
  <Override PartName="/xl/tables/table38.xml" ContentType="application/vnd.openxmlformats-officedocument.spreadsheetml.table+xml"/>
  <Override PartName="/xl/tables/table47.xml" ContentType="application/vnd.openxmlformats-officedocument.spreadsheetml.table+xml"/>
  <Override PartName="/xl/tables/table58.xml" ContentType="application/vnd.openxmlformats-officedocument.spreadsheetml.table+xml"/>
  <Override PartName="/xl/tables/table67.xml" ContentType="application/vnd.openxmlformats-officedocument.spreadsheetml.table+xml"/>
  <Override PartName="/xl/tables/table76.xml" ContentType="application/vnd.openxmlformats-officedocument.spreadsheetml.table+xml"/>
  <Override PartName="/xl/tables/table85.xml" ContentType="application/vnd.openxmlformats-officedocument.spreadsheetml.table+xml"/>
  <Override PartName="/xl/tables/table94.xml" ContentType="application/vnd.openxmlformats-officedocument.spreadsheetml.table+xml"/>
  <Override PartName="/xl/tables/table105.xml" ContentType="application/vnd.openxmlformats-officedocument.spreadsheetml.table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tables/table6.xml" ContentType="application/vnd.openxmlformats-officedocument.spreadsheetml.table+xml"/>
  <Override PartName="/xl/tables/table18.xml" ContentType="application/vnd.openxmlformats-officedocument.spreadsheetml.table+xml"/>
  <Override PartName="/xl/tables/table27.xml" ContentType="application/vnd.openxmlformats-officedocument.spreadsheetml.table+xml"/>
  <Override PartName="/xl/tables/table36.xml" ContentType="application/vnd.openxmlformats-officedocument.spreadsheetml.table+xml"/>
  <Override PartName="/xl/tables/table45.xml" ContentType="application/vnd.openxmlformats-officedocument.spreadsheetml.table+xml"/>
  <Override PartName="/xl/tables/table56.xml" ContentType="application/vnd.openxmlformats-officedocument.spreadsheetml.table+xml"/>
  <Override PartName="/xl/tables/table65.xml" ContentType="application/vnd.openxmlformats-officedocument.spreadsheetml.table+xml"/>
  <Override PartName="/xl/tables/table74.xml" ContentType="application/vnd.openxmlformats-officedocument.spreadsheetml.table+xml"/>
  <Override PartName="/xl/tables/table83.xml" ContentType="application/vnd.openxmlformats-officedocument.spreadsheetml.table+xml"/>
  <Override PartName="/xl/tables/table92.xml" ContentType="application/vnd.openxmlformats-officedocument.spreadsheetml.table+xml"/>
  <Override PartName="/xl/tables/table103.xml" ContentType="application/vnd.openxmlformats-officedocument.spreadsheetml.table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tables/table16.xml" ContentType="application/vnd.openxmlformats-officedocument.spreadsheetml.table+xml"/>
  <Override PartName="/xl/tables/table34.xml" ContentType="application/vnd.openxmlformats-officedocument.spreadsheetml.table+xml"/>
  <Override PartName="/xl/tables/table63.xml" ContentType="application/vnd.openxmlformats-officedocument.spreadsheetml.table+xml"/>
  <Override PartName="/xl/tables/table81.xml" ContentType="application/vnd.openxmlformats-officedocument.spreadsheetml.table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tables/table2.xml" ContentType="application/vnd.openxmlformats-officedocument.spreadsheetml.table+xml"/>
  <Override PartName="/xl/tables/table23.xml" ContentType="application/vnd.openxmlformats-officedocument.spreadsheetml.table+xml"/>
  <Override PartName="/xl/tables/table41.xml" ContentType="application/vnd.openxmlformats-officedocument.spreadsheetml.table+xml"/>
  <Override PartName="/xl/tables/table52.xml" ContentType="application/vnd.openxmlformats-officedocument.spreadsheetml.table+xml"/>
  <Override PartName="/xl/tables/table70.xml" ContentType="application/vnd.openxmlformats-officedocument.spreadsheetml.tabl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tables/table12.xml" ContentType="application/vnd.openxmlformats-officedocument.spreadsheetml.table+xml"/>
  <Override PartName="/xl/tables/table30.xml" ContentType="application/vnd.openxmlformats-officedocument.spreadsheetml.table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tables/table68.xml" ContentType="application/vnd.openxmlformats-officedocument.spreadsheetml.table+xml"/>
  <Override PartName="/xl/tables/table79.xml" ContentType="application/vnd.openxmlformats-officedocument.spreadsheetml.table+xml"/>
  <Override PartName="/xl/tables/table97.xml" ContentType="application/vnd.openxmlformats-officedocument.spreadsheetml.table+xml"/>
  <Override PartName="/xl/tables/table108.xml" ContentType="application/vnd.openxmlformats-officedocument.spreadsheetml.table+xml"/>
  <Override PartName="/xl/worksheets/sheet38.xml" ContentType="application/vnd.openxmlformats-officedocument.spreadsheetml.worksheet+xml"/>
  <Override PartName="/xl/tables/table7.xml" ContentType="application/vnd.openxmlformats-officedocument.spreadsheetml.table+xml"/>
  <Override PartName="/xl/tables/table39.xml" ContentType="application/vnd.openxmlformats-officedocument.spreadsheetml.table+xml"/>
  <Override PartName="/xl/tables/table57.xml" ContentType="application/vnd.openxmlformats-officedocument.spreadsheetml.table+xml"/>
  <Override PartName="/xl/tables/table86.xml" ContentType="application/vnd.openxmlformats-officedocument.spreadsheetml.table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tables/table17.xml" ContentType="application/vnd.openxmlformats-officedocument.spreadsheetml.table+xml"/>
  <Override PartName="/xl/tables/table28.xml" ContentType="application/vnd.openxmlformats-officedocument.spreadsheetml.table+xml"/>
  <Override PartName="/xl/tables/table46.xml" ContentType="application/vnd.openxmlformats-officedocument.spreadsheetml.table+xml"/>
  <Override PartName="/xl/tables/table64.xml" ContentType="application/vnd.openxmlformats-officedocument.spreadsheetml.table+xml"/>
  <Override PartName="/xl/tables/table75.xml" ContentType="application/vnd.openxmlformats-officedocument.spreadsheetml.table+xml"/>
  <Override PartName="/xl/tables/table93.xml" ContentType="application/vnd.openxmlformats-officedocument.spreadsheetml.table+xml"/>
  <Override PartName="/xl/tables/table104.xml" ContentType="application/vnd.openxmlformats-officedocument.spreadsheetml.table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tables/table3.xml" ContentType="application/vnd.openxmlformats-officedocument.spreadsheetml.table+xml"/>
  <Override PartName="/xl/tables/table24.xml" ContentType="application/vnd.openxmlformats-officedocument.spreadsheetml.table+xml"/>
  <Override PartName="/xl/tables/table35.xml" ContentType="application/vnd.openxmlformats-officedocument.spreadsheetml.table+xml"/>
  <Override PartName="/xl/tables/table53.xml" ContentType="application/vnd.openxmlformats-officedocument.spreadsheetml.table+xml"/>
  <Override PartName="/xl/tables/table71.xml" ContentType="application/vnd.openxmlformats-officedocument.spreadsheetml.table+xml"/>
  <Override PartName="/xl/tables/table82.xml" ContentType="application/vnd.openxmlformats-officedocument.spreadsheetml.table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tables/table13.xml" ContentType="application/vnd.openxmlformats-officedocument.spreadsheetml.table+xml"/>
  <Override PartName="/xl/tables/table42.xml" ContentType="application/vnd.openxmlformats-officedocument.spreadsheetml.table+xml"/>
  <Override PartName="/xl/tables/table60.xml" ContentType="application/vnd.openxmlformats-officedocument.spreadsheetml.table+xml"/>
  <Override PartName="/xl/tables/table100.xml" ContentType="application/vnd.openxmlformats-officedocument.spreadsheetml.table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tables/table20.xml" ContentType="application/vnd.openxmlformats-officedocument.spreadsheetml.table+xml"/>
  <Override PartName="/xl/tables/table3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heckCompatibility="1" autoCompressPictures="0"/>
  <bookViews>
    <workbookView xWindow="0" yWindow="0" windowWidth="25605" windowHeight="16005" tabRatio="951"/>
  </bookViews>
  <sheets>
    <sheet name="BEG 9&amp;U B" sheetId="2" r:id="rId1"/>
    <sheet name="BEG 9&amp;U G" sheetId="3" r:id="rId2"/>
    <sheet name="BEG 9&amp;U MX" sheetId="100" r:id="rId3"/>
    <sheet name="BEG 11&amp;U B" sheetId="34" r:id="rId4"/>
    <sheet name="BEG 11&amp;U G" sheetId="58" r:id="rId5"/>
    <sheet name="BEG 11&amp;U MX" sheetId="12" r:id="rId6"/>
    <sheet name="BEG 13&amp;U B" sheetId="68" r:id="rId7"/>
    <sheet name="BEG 13&amp;U G" sheetId="35" r:id="rId8"/>
    <sheet name="BEG 13&amp;U MX" sheetId="102" r:id="rId9"/>
    <sheet name="BEG 15&amp;U G" sheetId="37" r:id="rId10"/>
    <sheet name="BEG 16&amp;A M" sheetId="103" r:id="rId11"/>
    <sheet name="BEG 16&amp;A L" sheetId="77" r:id="rId12"/>
    <sheet name="INT 9&amp;U B" sheetId="62" r:id="rId13"/>
    <sheet name="INT 9&amp;U G" sheetId="63" r:id="rId14"/>
    <sheet name="INT 9&amp;U MX" sheetId="86" r:id="rId15"/>
    <sheet name="INT 11&amp;U B" sheetId="64" r:id="rId16"/>
    <sheet name="INT 11&amp;U G" sheetId="60" r:id="rId17"/>
    <sheet name="INT 11&amp;U MX" sheetId="104" r:id="rId18"/>
    <sheet name="INT 13&amp;U B" sheetId="75" r:id="rId19"/>
    <sheet name="INT 13&amp;U G" sheetId="59" r:id="rId20"/>
    <sheet name="INT 13&amp;U MX" sheetId="105" r:id="rId21"/>
    <sheet name="INT 15&amp;U B" sheetId="107" r:id="rId22"/>
    <sheet name="INT 15&amp;U G " sheetId="61" r:id="rId23"/>
    <sheet name="INT 15&amp;U MX" sheetId="85" r:id="rId24"/>
    <sheet name="INT 16&amp;A M" sheetId="88" r:id="rId25"/>
    <sheet name="INT 16&amp;A L" sheetId="39" r:id="rId26"/>
    <sheet name="INT 16&amp;A MX" sheetId="76" r:id="rId27"/>
    <sheet name="ADV 9&amp;U B" sheetId="44" r:id="rId28"/>
    <sheet name="ADV 9&amp;U G" sheetId="69" r:id="rId29"/>
    <sheet name="ADV 9&amp;U MX" sheetId="106" r:id="rId30"/>
    <sheet name="ADV 11&amp;U B" sheetId="74" r:id="rId31"/>
    <sheet name="ADV 11&amp;U G" sheetId="45" r:id="rId32"/>
    <sheet name="ADV 11&amp;U MX" sheetId="43" r:id="rId33"/>
    <sheet name="ADV 13&amp;U B" sheetId="47" r:id="rId34"/>
    <sheet name="ADV 13&amp;U G" sheetId="48" r:id="rId35"/>
    <sheet name="ADV 13&amp;U MX" sheetId="89" r:id="rId36"/>
    <sheet name="ADV 15&amp;U B" sheetId="73" r:id="rId37"/>
    <sheet name="ADV 15&amp;U G" sheetId="51" r:id="rId38"/>
    <sheet name="ADV 15&amp;U MX" sheetId="90" r:id="rId39"/>
    <sheet name="ADV 16&amp;A M" sheetId="101" r:id="rId40"/>
    <sheet name="ADV 16&amp;A L" sheetId="65" r:id="rId41"/>
    <sheet name="DISABILITY " sheetId="91" r:id="rId42"/>
    <sheet name="BEG GF TROPHY" sheetId="99" r:id="rId43"/>
    <sheet name="INT BOYS GF TROPHY" sheetId="94" r:id="rId44"/>
    <sheet name="INT GIRLS GF TROPHY" sheetId="95" r:id="rId45"/>
    <sheet name="ADV GF TROPHY" sheetId="96" r:id="rId46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7" i="73"/>
  <c r="X9"/>
  <c r="Z8"/>
  <c r="X8"/>
  <c r="X7"/>
  <c r="Z20" i="75"/>
  <c r="Z19"/>
  <c r="Z18"/>
  <c r="Z17"/>
  <c r="X20"/>
  <c r="X19"/>
  <c r="X18"/>
  <c r="X17"/>
  <c r="X34" i="60"/>
  <c r="X40"/>
  <c r="Z40"/>
  <c r="AB40"/>
  <c r="X38"/>
  <c r="Z38"/>
  <c r="AB38"/>
  <c r="R8" i="90"/>
  <c r="R9"/>
  <c r="R10"/>
  <c r="R11"/>
  <c r="R12"/>
  <c r="R13"/>
  <c r="R15"/>
  <c r="S15"/>
  <c r="Q14"/>
  <c r="K14" i="45"/>
  <c r="O80" i="60"/>
  <c r="Z24" i="45"/>
  <c r="X24"/>
  <c r="AB24"/>
  <c r="Q19"/>
  <c r="Q20"/>
  <c r="Q21"/>
  <c r="Q22"/>
  <c r="Q23"/>
  <c r="E30"/>
  <c r="E31"/>
  <c r="E32"/>
  <c r="E33"/>
  <c r="E34"/>
  <c r="AA1" i="96"/>
  <c r="B10"/>
  <c r="K9" i="65"/>
  <c r="K10"/>
  <c r="K11"/>
  <c r="K12"/>
  <c r="K13"/>
  <c r="K8"/>
  <c r="K20" i="51"/>
  <c r="K21"/>
  <c r="K22"/>
  <c r="K23"/>
  <c r="K24"/>
  <c r="K19"/>
  <c r="K31" i="48"/>
  <c r="K32"/>
  <c r="K33"/>
  <c r="K34"/>
  <c r="K35"/>
  <c r="K30"/>
  <c r="K19" i="45"/>
  <c r="K20"/>
  <c r="K21"/>
  <c r="K22"/>
  <c r="K23"/>
  <c r="Q19" i="48"/>
  <c r="Q20"/>
  <c r="Q21"/>
  <c r="Q22"/>
  <c r="Q23"/>
  <c r="X1" i="96"/>
  <c r="B9"/>
  <c r="K8" i="45"/>
  <c r="K9"/>
  <c r="K10"/>
  <c r="K11"/>
  <c r="K12"/>
  <c r="K13"/>
  <c r="Q8" i="51"/>
  <c r="Q9"/>
  <c r="Q10"/>
  <c r="Q11"/>
  <c r="U1" i="96"/>
  <c r="B8"/>
  <c r="E25" i="65"/>
  <c r="E24"/>
  <c r="E20" i="51"/>
  <c r="E21"/>
  <c r="E22"/>
  <c r="E19"/>
  <c r="E31" i="48"/>
  <c r="E32"/>
  <c r="E33"/>
  <c r="E30"/>
  <c r="K19" i="69"/>
  <c r="K20"/>
  <c r="K21"/>
  <c r="K22"/>
  <c r="K23"/>
  <c r="F8" i="106"/>
  <c r="F9"/>
  <c r="F10"/>
  <c r="F11"/>
  <c r="F12"/>
  <c r="R9" i="96"/>
  <c r="R1"/>
  <c r="B7"/>
  <c r="K19" i="65"/>
  <c r="Q8" i="101"/>
  <c r="Q12" i="51"/>
  <c r="Q13"/>
  <c r="Q9" i="65"/>
  <c r="Q10"/>
  <c r="Q11"/>
  <c r="R21" i="96"/>
  <c r="Q12" i="65"/>
  <c r="Q8"/>
  <c r="Q9" i="90"/>
  <c r="Q10"/>
  <c r="Q11"/>
  <c r="Q12"/>
  <c r="Q13"/>
  <c r="Q8"/>
  <c r="F9"/>
  <c r="F10"/>
  <c r="F11"/>
  <c r="F12"/>
  <c r="F13"/>
  <c r="F8"/>
  <c r="Q12" i="89"/>
  <c r="Q13"/>
  <c r="Q11"/>
  <c r="Q9"/>
  <c r="Q8"/>
  <c r="F12"/>
  <c r="F13"/>
  <c r="F11"/>
  <c r="F9"/>
  <c r="F8"/>
  <c r="Q9" i="43"/>
  <c r="Q10"/>
  <c r="Q11"/>
  <c r="Q12"/>
  <c r="Q13"/>
  <c r="Q8"/>
  <c r="F9"/>
  <c r="F10"/>
  <c r="F11"/>
  <c r="F12"/>
  <c r="F13"/>
  <c r="F8"/>
  <c r="F13" i="106"/>
  <c r="Q8" i="69"/>
  <c r="Q9"/>
  <c r="Q10"/>
  <c r="Q11"/>
  <c r="Q12"/>
  <c r="Q13"/>
  <c r="E19" i="45"/>
  <c r="E20"/>
  <c r="E21"/>
  <c r="E22"/>
  <c r="O1" i="96"/>
  <c r="B6"/>
  <c r="K42" i="48"/>
  <c r="K41"/>
  <c r="E8" i="69"/>
  <c r="E9"/>
  <c r="E10"/>
  <c r="E11"/>
  <c r="E12"/>
  <c r="E8" i="45"/>
  <c r="E9"/>
  <c r="E10"/>
  <c r="E11"/>
  <c r="K8" i="48"/>
  <c r="L1" i="96"/>
  <c r="B5"/>
  <c r="E12" i="65"/>
  <c r="E9"/>
  <c r="E10"/>
  <c r="E8"/>
  <c r="K8" i="101"/>
  <c r="K13" i="51"/>
  <c r="K10"/>
  <c r="K11"/>
  <c r="K12"/>
  <c r="K9"/>
  <c r="K9" i="48"/>
  <c r="K10"/>
  <c r="K11"/>
  <c r="K12"/>
  <c r="K13"/>
  <c r="K8" i="44"/>
  <c r="K9"/>
  <c r="K10"/>
  <c r="K11"/>
  <c r="K12"/>
  <c r="K13"/>
  <c r="E19" i="69"/>
  <c r="E20"/>
  <c r="E21"/>
  <c r="E22"/>
  <c r="I1" i="96"/>
  <c r="B4"/>
  <c r="K8" i="73"/>
  <c r="K9" i="47"/>
  <c r="K10"/>
  <c r="K11"/>
  <c r="K12"/>
  <c r="K13"/>
  <c r="K8"/>
  <c r="E9"/>
  <c r="E10"/>
  <c r="E11"/>
  <c r="E12"/>
  <c r="E13"/>
  <c r="E8"/>
  <c r="Q9" i="74"/>
  <c r="Q10"/>
  <c r="Q11"/>
  <c r="Q12"/>
  <c r="Q8"/>
  <c r="K9"/>
  <c r="K10"/>
  <c r="K11"/>
  <c r="K12"/>
  <c r="K8"/>
  <c r="E23" i="69"/>
  <c r="E8" i="44"/>
  <c r="E9"/>
  <c r="E10"/>
  <c r="E11"/>
  <c r="E12"/>
  <c r="E13"/>
  <c r="E8" i="74"/>
  <c r="E9"/>
  <c r="E10"/>
  <c r="E11"/>
  <c r="F1" i="96"/>
  <c r="B3"/>
  <c r="E8" i="101"/>
  <c r="E8" i="73"/>
  <c r="Q9" i="47"/>
  <c r="Q8"/>
  <c r="Q52" i="60"/>
  <c r="Q53"/>
  <c r="Q54"/>
  <c r="Q55"/>
  <c r="Q56"/>
  <c r="Q57"/>
  <c r="E63"/>
  <c r="E64"/>
  <c r="E65"/>
  <c r="E66"/>
  <c r="AP1" i="95"/>
  <c r="B15"/>
  <c r="Q9" i="39"/>
  <c r="Q10"/>
  <c r="Q11"/>
  <c r="Q8"/>
  <c r="K9"/>
  <c r="K10"/>
  <c r="K11"/>
  <c r="K8"/>
  <c r="Q9" i="61"/>
  <c r="Q10"/>
  <c r="Q11"/>
  <c r="Q8"/>
  <c r="E31" i="59"/>
  <c r="E32"/>
  <c r="E33"/>
  <c r="E34"/>
  <c r="E35"/>
  <c r="E30"/>
  <c r="E67" i="60"/>
  <c r="E8"/>
  <c r="E9"/>
  <c r="E10"/>
  <c r="E11"/>
  <c r="E12"/>
  <c r="E13"/>
  <c r="E8" i="59"/>
  <c r="E9"/>
  <c r="E10"/>
  <c r="E11"/>
  <c r="AM1" i="95"/>
  <c r="B14"/>
  <c r="E12" i="59"/>
  <c r="E13"/>
  <c r="E68" i="63"/>
  <c r="E69"/>
  <c r="E52" i="60"/>
  <c r="E53"/>
  <c r="E54"/>
  <c r="E55"/>
  <c r="K52"/>
  <c r="K53"/>
  <c r="K54"/>
  <c r="K55"/>
  <c r="AJ1" i="95"/>
  <c r="B13"/>
  <c r="E45" i="61"/>
  <c r="K63" i="59"/>
  <c r="E63" i="63"/>
  <c r="E64"/>
  <c r="E19" i="60"/>
  <c r="E20"/>
  <c r="E21"/>
  <c r="E22"/>
  <c r="E23"/>
  <c r="K19"/>
  <c r="K20"/>
  <c r="K21"/>
  <c r="AG1" i="95"/>
  <c r="B12"/>
  <c r="Q9" i="59"/>
  <c r="Q10"/>
  <c r="Q11"/>
  <c r="Q12"/>
  <c r="Q13"/>
  <c r="Q8"/>
  <c r="K22" i="60"/>
  <c r="K23"/>
  <c r="K24"/>
  <c r="K52" i="63"/>
  <c r="K53"/>
  <c r="K54"/>
  <c r="K55"/>
  <c r="K56"/>
  <c r="K57"/>
  <c r="F11" i="86"/>
  <c r="F12"/>
  <c r="F13"/>
  <c r="E96" i="60"/>
  <c r="AD1" i="95"/>
  <c r="B11"/>
  <c r="Q11" i="105"/>
  <c r="Q12"/>
  <c r="Q13"/>
  <c r="Q10"/>
  <c r="K97" i="60"/>
  <c r="K98"/>
  <c r="K99"/>
  <c r="K100"/>
  <c r="K96"/>
  <c r="E97"/>
  <c r="E98"/>
  <c r="E99"/>
  <c r="E100"/>
  <c r="K41" i="63"/>
  <c r="K42"/>
  <c r="K43"/>
  <c r="K44"/>
  <c r="K45"/>
  <c r="K46"/>
  <c r="Q41"/>
  <c r="Q42"/>
  <c r="Q43"/>
  <c r="Q44"/>
  <c r="AA1" i="95"/>
  <c r="B10"/>
  <c r="E31" i="61"/>
  <c r="E32"/>
  <c r="E33"/>
  <c r="E30"/>
  <c r="Q20"/>
  <c r="Q21"/>
  <c r="Q22"/>
  <c r="Q19"/>
  <c r="E53" i="59"/>
  <c r="E54"/>
  <c r="E55"/>
  <c r="E56"/>
  <c r="E52"/>
  <c r="Q42"/>
  <c r="Q43"/>
  <c r="Q44"/>
  <c r="Q41"/>
  <c r="Q86" i="60"/>
  <c r="Q87"/>
  <c r="Q88"/>
  <c r="Q89"/>
  <c r="Q90"/>
  <c r="Q85"/>
  <c r="K86"/>
  <c r="K87"/>
  <c r="K88"/>
  <c r="K89"/>
  <c r="K90"/>
  <c r="K85"/>
  <c r="Q45" i="63"/>
  <c r="Q46"/>
  <c r="E41"/>
  <c r="E42"/>
  <c r="E43"/>
  <c r="E44"/>
  <c r="E45"/>
  <c r="E46"/>
  <c r="E85" i="60"/>
  <c r="E86"/>
  <c r="E87"/>
  <c r="E88"/>
  <c r="X1" i="95"/>
  <c r="B9"/>
  <c r="E19" i="39"/>
  <c r="K45" i="61"/>
  <c r="K42" i="59"/>
  <c r="K43"/>
  <c r="K44"/>
  <c r="K45"/>
  <c r="K46"/>
  <c r="K41"/>
  <c r="E89" i="60"/>
  <c r="E90"/>
  <c r="K30" i="63"/>
  <c r="K31"/>
  <c r="K32"/>
  <c r="K33"/>
  <c r="K34"/>
  <c r="K35"/>
  <c r="Q30"/>
  <c r="Q31"/>
  <c r="Q32"/>
  <c r="Q33"/>
  <c r="U7" i="95"/>
  <c r="U8"/>
  <c r="U1"/>
  <c r="B8"/>
  <c r="F12" i="76"/>
  <c r="F11"/>
  <c r="Q13" i="85"/>
  <c r="U26" i="95"/>
  <c r="Q12" i="85"/>
  <c r="K20" i="61"/>
  <c r="K21"/>
  <c r="K22"/>
  <c r="K23"/>
  <c r="K19"/>
  <c r="E20"/>
  <c r="E21"/>
  <c r="E22"/>
  <c r="E23"/>
  <c r="E19"/>
  <c r="E44" i="59"/>
  <c r="E45"/>
  <c r="E46"/>
  <c r="E43"/>
  <c r="E41"/>
  <c r="Q31"/>
  <c r="Q32"/>
  <c r="Q33"/>
  <c r="Q34"/>
  <c r="Q35"/>
  <c r="Q30"/>
  <c r="E75" i="60"/>
  <c r="E76"/>
  <c r="E77"/>
  <c r="E78"/>
  <c r="E74"/>
  <c r="Q64"/>
  <c r="Q65"/>
  <c r="Q66"/>
  <c r="Q67"/>
  <c r="Q63"/>
  <c r="Q35" i="63"/>
  <c r="Q34"/>
  <c r="E30"/>
  <c r="E31"/>
  <c r="E32"/>
  <c r="E33"/>
  <c r="E34"/>
  <c r="E35"/>
  <c r="Q41" i="60"/>
  <c r="Q42"/>
  <c r="Q43"/>
  <c r="Q44"/>
  <c r="R1" i="95"/>
  <c r="B7"/>
  <c r="E9" i="39"/>
  <c r="E10"/>
  <c r="E11"/>
  <c r="E12"/>
  <c r="E8"/>
  <c r="K57" i="59"/>
  <c r="Q20"/>
  <c r="Q21"/>
  <c r="Q22"/>
  <c r="Q23"/>
  <c r="Q24"/>
  <c r="Q19"/>
  <c r="Q45" i="60"/>
  <c r="Q46"/>
  <c r="Q19" i="63"/>
  <c r="Q20"/>
  <c r="Q21"/>
  <c r="Q22"/>
  <c r="Q23"/>
  <c r="Q24"/>
  <c r="K41" i="60"/>
  <c r="K42"/>
  <c r="K43"/>
  <c r="K44"/>
  <c r="O1" i="95"/>
  <c r="B6"/>
  <c r="E19" i="63"/>
  <c r="E20"/>
  <c r="E21"/>
  <c r="E22"/>
  <c r="E23"/>
  <c r="E24"/>
  <c r="K19"/>
  <c r="K20"/>
  <c r="K21"/>
  <c r="K22"/>
  <c r="L1" i="95"/>
  <c r="B5"/>
  <c r="K20" i="59"/>
  <c r="K21"/>
  <c r="K22"/>
  <c r="K23"/>
  <c r="K19"/>
  <c r="E42" i="60"/>
  <c r="E43"/>
  <c r="E44"/>
  <c r="E45"/>
  <c r="E41"/>
  <c r="Q31"/>
  <c r="Q32"/>
  <c r="Q33"/>
  <c r="Q34"/>
  <c r="Q30"/>
  <c r="K23" i="63"/>
  <c r="K24"/>
  <c r="K8"/>
  <c r="K9"/>
  <c r="K10"/>
  <c r="K11"/>
  <c r="K12"/>
  <c r="K13"/>
  <c r="Q8"/>
  <c r="Q9"/>
  <c r="Q10"/>
  <c r="Q11"/>
  <c r="I1" i="95"/>
  <c r="B4"/>
  <c r="E8" i="63"/>
  <c r="E9"/>
  <c r="E10"/>
  <c r="E11"/>
  <c r="E12"/>
  <c r="K8" i="60"/>
  <c r="K9"/>
  <c r="K10"/>
  <c r="K11"/>
  <c r="K12"/>
  <c r="F1" i="95"/>
  <c r="B3"/>
  <c r="K13" i="61"/>
  <c r="K11"/>
  <c r="K10"/>
  <c r="E20" i="59"/>
  <c r="E21"/>
  <c r="E22"/>
  <c r="E19"/>
  <c r="Q23" i="60"/>
  <c r="Q19"/>
  <c r="Q20"/>
  <c r="Q21"/>
  <c r="Q22"/>
  <c r="Q24"/>
  <c r="K53" i="59"/>
  <c r="K52"/>
  <c r="K13" i="60"/>
  <c r="E8" i="64"/>
  <c r="E9"/>
  <c r="E10"/>
  <c r="E11"/>
  <c r="E12"/>
  <c r="E8" i="75"/>
  <c r="E9"/>
  <c r="E10"/>
  <c r="E11"/>
  <c r="E12"/>
  <c r="L1" i="94"/>
  <c r="B5"/>
  <c r="E19" i="62"/>
  <c r="E20"/>
  <c r="E21"/>
  <c r="E22"/>
  <c r="E23"/>
  <c r="E19" i="64"/>
  <c r="E20"/>
  <c r="E21"/>
  <c r="E22"/>
  <c r="E23"/>
  <c r="I1" i="94"/>
  <c r="B4"/>
  <c r="E24" i="64"/>
  <c r="Q8" i="62"/>
  <c r="E9"/>
  <c r="E10"/>
  <c r="E11"/>
  <c r="E12"/>
  <c r="K19"/>
  <c r="K20"/>
  <c r="K21"/>
  <c r="K22"/>
  <c r="K8" i="64"/>
  <c r="F1" i="94"/>
  <c r="B3"/>
  <c r="P8" i="88"/>
  <c r="R8"/>
  <c r="T8"/>
  <c r="R7"/>
  <c r="P7"/>
  <c r="T7"/>
  <c r="Q9" i="85"/>
  <c r="Q8"/>
  <c r="K9" i="75"/>
  <c r="K10"/>
  <c r="K11"/>
  <c r="K12"/>
  <c r="K8"/>
  <c r="Q9" i="64"/>
  <c r="Q10"/>
  <c r="Q11"/>
  <c r="Q8"/>
  <c r="K9"/>
  <c r="K10"/>
  <c r="K11"/>
  <c r="E23" i="2"/>
  <c r="K19" i="58"/>
  <c r="K20"/>
  <c r="K21"/>
  <c r="K22"/>
  <c r="K23"/>
  <c r="K24"/>
  <c r="Q19"/>
  <c r="Q20"/>
  <c r="Q21"/>
  <c r="AY1" i="99"/>
  <c r="B17"/>
  <c r="F12" i="102"/>
  <c r="F13"/>
  <c r="F11"/>
  <c r="F9"/>
  <c r="F8"/>
  <c r="Q22" i="58"/>
  <c r="Q23"/>
  <c r="K24" i="2"/>
  <c r="K78" i="3"/>
  <c r="K79"/>
  <c r="K80"/>
  <c r="Q41" i="58"/>
  <c r="Q42"/>
  <c r="Q43"/>
  <c r="Q44"/>
  <c r="Q8" i="68"/>
  <c r="Q9"/>
  <c r="AV1" i="99"/>
  <c r="B16"/>
  <c r="E24" i="37"/>
  <c r="K50" i="35"/>
  <c r="K51"/>
  <c r="K49"/>
  <c r="Q10" i="68"/>
  <c r="Q63" i="3"/>
  <c r="Q64"/>
  <c r="Q65"/>
  <c r="Q66"/>
  <c r="Q67"/>
  <c r="Q68"/>
  <c r="E8" i="34"/>
  <c r="E9"/>
  <c r="E10"/>
  <c r="E11"/>
  <c r="AS1" i="99"/>
  <c r="B15"/>
  <c r="K9" i="77"/>
  <c r="K8"/>
  <c r="Q9" i="37"/>
  <c r="Q10"/>
  <c r="Q11"/>
  <c r="Q12"/>
  <c r="Q8"/>
  <c r="K9"/>
  <c r="K10"/>
  <c r="K11"/>
  <c r="K12"/>
  <c r="K8"/>
  <c r="Q32" i="35"/>
  <c r="Q33"/>
  <c r="Q34"/>
  <c r="Q31"/>
  <c r="Q53" i="58"/>
  <c r="Q54"/>
  <c r="Q55"/>
  <c r="Q56"/>
  <c r="Q57"/>
  <c r="Q52"/>
  <c r="K53"/>
  <c r="K54"/>
  <c r="K55"/>
  <c r="K56"/>
  <c r="K57"/>
  <c r="K52"/>
  <c r="K63" i="3"/>
  <c r="K64"/>
  <c r="K65"/>
  <c r="K66"/>
  <c r="K67"/>
  <c r="K68"/>
  <c r="K28" i="2"/>
  <c r="E23" i="34"/>
  <c r="E52" i="58"/>
  <c r="E53"/>
  <c r="AP1" i="99"/>
  <c r="B14"/>
  <c r="K31" i="35"/>
  <c r="K32"/>
  <c r="K33"/>
  <c r="K30"/>
  <c r="E12" i="68"/>
  <c r="E54" i="58"/>
  <c r="E55"/>
  <c r="E56"/>
  <c r="K19" i="2"/>
  <c r="K20"/>
  <c r="E63" i="3"/>
  <c r="E64"/>
  <c r="E65"/>
  <c r="E66"/>
  <c r="E67"/>
  <c r="E68"/>
  <c r="Q19" i="34"/>
  <c r="Q20"/>
  <c r="AM1" i="99"/>
  <c r="B13"/>
  <c r="K45" i="35"/>
  <c r="AB20" i="12"/>
  <c r="AB21"/>
  <c r="AB22"/>
  <c r="AB23"/>
  <c r="AB24"/>
  <c r="AB19"/>
  <c r="E67" i="58"/>
  <c r="Q9" i="100"/>
  <c r="Q10"/>
  <c r="Q11"/>
  <c r="Q12"/>
  <c r="Q13"/>
  <c r="Q8"/>
  <c r="Q52" i="3"/>
  <c r="Q53"/>
  <c r="Q54"/>
  <c r="Q55"/>
  <c r="Q56"/>
  <c r="AJ1" i="99"/>
  <c r="B12"/>
  <c r="K52" i="3"/>
  <c r="K53"/>
  <c r="K54"/>
  <c r="K55"/>
  <c r="K56"/>
  <c r="K57"/>
  <c r="K41" i="58"/>
  <c r="K42"/>
  <c r="K43"/>
  <c r="K44"/>
  <c r="AG1" i="99"/>
  <c r="B11"/>
  <c r="E31" i="35"/>
  <c r="E32"/>
  <c r="E33"/>
  <c r="E34"/>
  <c r="E35"/>
  <c r="E30"/>
  <c r="K45" i="58"/>
  <c r="K46"/>
  <c r="E28" i="2"/>
  <c r="E52" i="3"/>
  <c r="E53"/>
  <c r="E54"/>
  <c r="E55"/>
  <c r="Q19" i="12"/>
  <c r="Q20"/>
  <c r="Q22"/>
  <c r="Q24"/>
  <c r="K8" i="68"/>
  <c r="K41" i="35"/>
  <c r="AD1" i="99"/>
  <c r="B10"/>
  <c r="Q41" i="3"/>
  <c r="Q42"/>
  <c r="Q43"/>
  <c r="Q44"/>
  <c r="Q45"/>
  <c r="Q46"/>
  <c r="K19" i="34"/>
  <c r="E41" i="58"/>
  <c r="E42"/>
  <c r="E43"/>
  <c r="AA1" i="99"/>
  <c r="B9"/>
  <c r="E13" i="77"/>
  <c r="E12"/>
  <c r="E9"/>
  <c r="E10"/>
  <c r="E8"/>
  <c r="Q20" i="35"/>
  <c r="Q21"/>
  <c r="Q22"/>
  <c r="Q23"/>
  <c r="Q19"/>
  <c r="E44" i="58"/>
  <c r="E45"/>
  <c r="E74" i="3"/>
  <c r="K41"/>
  <c r="K42"/>
  <c r="K43"/>
  <c r="K44"/>
  <c r="K45"/>
  <c r="K46"/>
  <c r="K30" i="58"/>
  <c r="K31"/>
  <c r="K32"/>
  <c r="K33"/>
  <c r="X1" i="99"/>
  <c r="B8"/>
  <c r="K20" i="37"/>
  <c r="K19"/>
  <c r="K20" i="35"/>
  <c r="K21"/>
  <c r="K22"/>
  <c r="K23"/>
  <c r="K24"/>
  <c r="K19"/>
  <c r="E20"/>
  <c r="E21"/>
  <c r="E22"/>
  <c r="E23"/>
  <c r="E19"/>
  <c r="Q31" i="58"/>
  <c r="Q32"/>
  <c r="Q33"/>
  <c r="Q30"/>
  <c r="K34"/>
  <c r="Q30" i="3"/>
  <c r="Q31"/>
  <c r="Q32"/>
  <c r="Q33"/>
  <c r="Q34"/>
  <c r="E41"/>
  <c r="E42"/>
  <c r="E43"/>
  <c r="E44"/>
  <c r="E45"/>
  <c r="U1" i="99"/>
  <c r="B7"/>
  <c r="Q9" i="35"/>
  <c r="Q10"/>
  <c r="Q11"/>
  <c r="Q12"/>
  <c r="Q13"/>
  <c r="Q8"/>
  <c r="F20" i="12"/>
  <c r="F21"/>
  <c r="F22"/>
  <c r="F23"/>
  <c r="F24"/>
  <c r="F19"/>
  <c r="E30" i="3"/>
  <c r="E31"/>
  <c r="E32"/>
  <c r="E33"/>
  <c r="K30"/>
  <c r="K31"/>
  <c r="K32"/>
  <c r="K33"/>
  <c r="K34"/>
  <c r="E30" i="58"/>
  <c r="R1" i="99"/>
  <c r="E31" i="58"/>
  <c r="E32"/>
  <c r="E33"/>
  <c r="E34"/>
  <c r="E35"/>
  <c r="E19" i="3"/>
  <c r="E20"/>
  <c r="E21"/>
  <c r="E22"/>
  <c r="E23"/>
  <c r="E24"/>
  <c r="K8" i="58"/>
  <c r="K9"/>
  <c r="K10"/>
  <c r="K11"/>
  <c r="O1" i="99"/>
  <c r="B6"/>
  <c r="E20" i="37"/>
  <c r="E19"/>
  <c r="E41" i="35"/>
  <c r="E9"/>
  <c r="E10"/>
  <c r="E11"/>
  <c r="E12"/>
  <c r="E13"/>
  <c r="E8"/>
  <c r="Q9" i="58"/>
  <c r="Q10"/>
  <c r="Q11"/>
  <c r="Q12"/>
  <c r="Q13"/>
  <c r="Q8"/>
  <c r="K12"/>
  <c r="K8" i="3"/>
  <c r="K9"/>
  <c r="K10"/>
  <c r="K11"/>
  <c r="K12"/>
  <c r="K13"/>
  <c r="Q8"/>
  <c r="Q9"/>
  <c r="Q10"/>
  <c r="Q11"/>
  <c r="L1" i="99"/>
  <c r="B5"/>
  <c r="Q12" i="3"/>
  <c r="E8" i="2"/>
  <c r="E9"/>
  <c r="E10"/>
  <c r="E11"/>
  <c r="E12"/>
  <c r="E13"/>
  <c r="K19" i="3"/>
  <c r="K20"/>
  <c r="K21"/>
  <c r="K22"/>
  <c r="F1" i="99"/>
  <c r="E8" i="3"/>
  <c r="E9"/>
  <c r="E10"/>
  <c r="E11"/>
  <c r="E12"/>
  <c r="E13"/>
  <c r="E8" i="37"/>
  <c r="E9"/>
  <c r="E10"/>
  <c r="E11"/>
  <c r="I1" i="99"/>
  <c r="E12" i="37"/>
  <c r="E13"/>
  <c r="B4" i="99"/>
  <c r="B3"/>
  <c r="Z52" i="58"/>
  <c r="X52"/>
  <c r="AB52"/>
  <c r="X51"/>
  <c r="Z51"/>
  <c r="AB51"/>
  <c r="X50"/>
  <c r="Z50"/>
  <c r="AB50"/>
  <c r="X49"/>
  <c r="Z49"/>
  <c r="AB49"/>
  <c r="X48"/>
  <c r="Z48"/>
  <c r="AB48"/>
  <c r="X47"/>
  <c r="Z47"/>
  <c r="AB47"/>
  <c r="X46"/>
  <c r="Z46"/>
  <c r="AB46"/>
  <c r="X45"/>
  <c r="Z45"/>
  <c r="AB45"/>
  <c r="X44"/>
  <c r="Z44"/>
  <c r="AB44"/>
  <c r="X43"/>
  <c r="Z43"/>
  <c r="AB43"/>
  <c r="X42"/>
  <c r="Z42"/>
  <c r="AB42"/>
  <c r="X41"/>
  <c r="Z41"/>
  <c r="AB41"/>
  <c r="X40"/>
  <c r="Z40"/>
  <c r="AB40"/>
  <c r="X39"/>
  <c r="Z39"/>
  <c r="AB39"/>
  <c r="X38"/>
  <c r="Z38"/>
  <c r="AB38"/>
  <c r="X37"/>
  <c r="Z37"/>
  <c r="AB37"/>
  <c r="X36"/>
  <c r="Z36"/>
  <c r="AB36"/>
  <c r="X35"/>
  <c r="Z35"/>
  <c r="AB35"/>
  <c r="X34"/>
  <c r="Z34"/>
  <c r="AB34"/>
  <c r="X33"/>
  <c r="Z33"/>
  <c r="AB33"/>
  <c r="X32"/>
  <c r="Z32"/>
  <c r="AB32"/>
  <c r="X31"/>
  <c r="Z31"/>
  <c r="AB31"/>
  <c r="X30"/>
  <c r="Z30"/>
  <c r="AB30"/>
  <c r="X29"/>
  <c r="Z29"/>
  <c r="AB29"/>
  <c r="X28"/>
  <c r="Z28"/>
  <c r="AB28"/>
  <c r="X27"/>
  <c r="Z27"/>
  <c r="AB27"/>
  <c r="X26"/>
  <c r="Z26"/>
  <c r="AB26"/>
  <c r="X25"/>
  <c r="Z25"/>
  <c r="AB25"/>
  <c r="X24"/>
  <c r="Z24"/>
  <c r="AB24"/>
  <c r="X23"/>
  <c r="Z23"/>
  <c r="AB23"/>
  <c r="X22"/>
  <c r="Z22"/>
  <c r="AB22"/>
  <c r="X21"/>
  <c r="Z21"/>
  <c r="AB21"/>
  <c r="X20"/>
  <c r="Z20"/>
  <c r="AB20"/>
  <c r="X19"/>
  <c r="Z19"/>
  <c r="AB19"/>
  <c r="X18"/>
  <c r="Z18"/>
  <c r="AB18"/>
  <c r="X17"/>
  <c r="Z17"/>
  <c r="AB17"/>
  <c r="X16"/>
  <c r="Z16"/>
  <c r="AB16"/>
  <c r="X15"/>
  <c r="Z15"/>
  <c r="AB15"/>
  <c r="X14"/>
  <c r="Z14"/>
  <c r="AB14"/>
  <c r="X13"/>
  <c r="Z13"/>
  <c r="AB13"/>
  <c r="X12"/>
  <c r="Z12"/>
  <c r="AB12"/>
  <c r="X11"/>
  <c r="Z11"/>
  <c r="AB11"/>
  <c r="X10"/>
  <c r="Z10"/>
  <c r="AB10"/>
  <c r="X9"/>
  <c r="Z9"/>
  <c r="AB9"/>
  <c r="X8"/>
  <c r="Z8"/>
  <c r="AB8"/>
  <c r="X7"/>
  <c r="Z7"/>
  <c r="AB7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Y103"/>
  <c r="Y7"/>
  <c r="AB103"/>
  <c r="E8" i="68"/>
  <c r="F9" i="12"/>
  <c r="F10"/>
  <c r="F11"/>
  <c r="F12"/>
  <c r="F13"/>
  <c r="F8"/>
  <c r="E20" i="58"/>
  <c r="E21"/>
  <c r="E22"/>
  <c r="E23"/>
  <c r="E24"/>
  <c r="E19"/>
  <c r="F12" i="100"/>
  <c r="F13"/>
  <c r="F11"/>
  <c r="F9"/>
  <c r="F8"/>
  <c r="Q20" i="3"/>
  <c r="Q21"/>
  <c r="Q22"/>
  <c r="Q23"/>
  <c r="Q24"/>
  <c r="Q19"/>
  <c r="K23"/>
  <c r="K24"/>
  <c r="X117"/>
  <c r="Z117"/>
  <c r="AB117"/>
  <c r="X116"/>
  <c r="Z116"/>
  <c r="AB116"/>
  <c r="X115"/>
  <c r="Z115"/>
  <c r="AB115"/>
  <c r="X114"/>
  <c r="Z114"/>
  <c r="AB114"/>
  <c r="X113"/>
  <c r="Z113"/>
  <c r="AB113"/>
  <c r="X112"/>
  <c r="Z112"/>
  <c r="AB112"/>
  <c r="X111"/>
  <c r="Z111"/>
  <c r="AB111"/>
  <c r="X110"/>
  <c r="Z110"/>
  <c r="AB110"/>
  <c r="X109"/>
  <c r="Z109"/>
  <c r="AB109"/>
  <c r="X108"/>
  <c r="Z108"/>
  <c r="AB108"/>
  <c r="X107"/>
  <c r="Z107"/>
  <c r="AB107"/>
  <c r="X106"/>
  <c r="Z106"/>
  <c r="AB106"/>
  <c r="X105"/>
  <c r="Z105"/>
  <c r="AB105"/>
  <c r="X104"/>
  <c r="Z104"/>
  <c r="AB104"/>
  <c r="X103"/>
  <c r="Z103"/>
  <c r="AB103"/>
  <c r="X102"/>
  <c r="Z102"/>
  <c r="AB102"/>
  <c r="X101"/>
  <c r="Z101"/>
  <c r="AB101"/>
  <c r="X100"/>
  <c r="Z100"/>
  <c r="AB100"/>
  <c r="X99"/>
  <c r="Z99"/>
  <c r="AB99"/>
  <c r="X98"/>
  <c r="Z98"/>
  <c r="AB98"/>
  <c r="X97"/>
  <c r="Z97"/>
  <c r="AB97"/>
  <c r="X96"/>
  <c r="Z96"/>
  <c r="AB96"/>
  <c r="X95"/>
  <c r="Z95"/>
  <c r="AB95"/>
  <c r="X94"/>
  <c r="Z94"/>
  <c r="AB94"/>
  <c r="X93"/>
  <c r="Z93"/>
  <c r="AB93"/>
  <c r="X92"/>
  <c r="Z92"/>
  <c r="AB92"/>
  <c r="X91"/>
  <c r="Z91"/>
  <c r="AB91"/>
  <c r="X90"/>
  <c r="Z90"/>
  <c r="AB90"/>
  <c r="X89"/>
  <c r="Z89"/>
  <c r="AB89"/>
  <c r="X88"/>
  <c r="Z88"/>
  <c r="AB88"/>
  <c r="X87"/>
  <c r="Z87"/>
  <c r="AB87"/>
  <c r="X86"/>
  <c r="Z86"/>
  <c r="AB86"/>
  <c r="X85"/>
  <c r="Z85"/>
  <c r="AB85"/>
  <c r="X84"/>
  <c r="Z84"/>
  <c r="AB84"/>
  <c r="X83"/>
  <c r="Z83"/>
  <c r="AB83"/>
  <c r="X82"/>
  <c r="Z82"/>
  <c r="AB82"/>
  <c r="X81"/>
  <c r="Z81"/>
  <c r="AB81"/>
  <c r="X80"/>
  <c r="Z80"/>
  <c r="AB80"/>
  <c r="X79"/>
  <c r="Z79"/>
  <c r="AB79"/>
  <c r="X78"/>
  <c r="Z78"/>
  <c r="AB78"/>
  <c r="X77"/>
  <c r="Z77"/>
  <c r="AB77"/>
  <c r="X76"/>
  <c r="Z76"/>
  <c r="AB76"/>
  <c r="X75"/>
  <c r="Z75"/>
  <c r="AB75"/>
  <c r="X74"/>
  <c r="Z74"/>
  <c r="AB74"/>
  <c r="X73"/>
  <c r="Z73"/>
  <c r="AB73"/>
  <c r="X72"/>
  <c r="Z72"/>
  <c r="AB72"/>
  <c r="X71"/>
  <c r="Z71"/>
  <c r="AB71"/>
  <c r="X70"/>
  <c r="Z70"/>
  <c r="AB70"/>
  <c r="X69"/>
  <c r="Z69"/>
  <c r="AB69"/>
  <c r="X68"/>
  <c r="Z68"/>
  <c r="AB68"/>
  <c r="X67"/>
  <c r="Z67"/>
  <c r="AB67"/>
  <c r="X66"/>
  <c r="Z66"/>
  <c r="AB66"/>
  <c r="X65"/>
  <c r="Z65"/>
  <c r="AB65"/>
  <c r="X64"/>
  <c r="Z64"/>
  <c r="AB64"/>
  <c r="X63"/>
  <c r="Z63"/>
  <c r="AB63"/>
  <c r="X62"/>
  <c r="Z62"/>
  <c r="AB62"/>
  <c r="X61"/>
  <c r="Z61"/>
  <c r="AB61"/>
  <c r="X60"/>
  <c r="Z60"/>
  <c r="AB60"/>
  <c r="X59"/>
  <c r="Z59"/>
  <c r="AB59"/>
  <c r="X58"/>
  <c r="Z58"/>
  <c r="AB58"/>
  <c r="X57"/>
  <c r="Z57"/>
  <c r="AB57"/>
  <c r="X56"/>
  <c r="Z56"/>
  <c r="AB56"/>
  <c r="X55"/>
  <c r="Z55"/>
  <c r="AB55"/>
  <c r="X54"/>
  <c r="Z54"/>
  <c r="AB54"/>
  <c r="X53"/>
  <c r="Z53"/>
  <c r="AB53"/>
  <c r="X52"/>
  <c r="Z52"/>
  <c r="AB52"/>
  <c r="X51"/>
  <c r="Z51"/>
  <c r="AB51"/>
  <c r="X50"/>
  <c r="Z50"/>
  <c r="AB50"/>
  <c r="X49"/>
  <c r="Z49"/>
  <c r="AB49"/>
  <c r="X48"/>
  <c r="Z48"/>
  <c r="AB48"/>
  <c r="X47"/>
  <c r="Z47"/>
  <c r="AB47"/>
  <c r="X46"/>
  <c r="Z46"/>
  <c r="AB46"/>
  <c r="X45"/>
  <c r="Z45"/>
  <c r="AB45"/>
  <c r="X44"/>
  <c r="Z44"/>
  <c r="AB44"/>
  <c r="X43"/>
  <c r="Z43"/>
  <c r="AB43"/>
  <c r="X42"/>
  <c r="Z42"/>
  <c r="AB42"/>
  <c r="X41"/>
  <c r="Z41"/>
  <c r="AB41"/>
  <c r="X40"/>
  <c r="Z40"/>
  <c r="AB40"/>
  <c r="X39"/>
  <c r="Z39"/>
  <c r="AB39"/>
  <c r="X38"/>
  <c r="Z38"/>
  <c r="AB38"/>
  <c r="X37"/>
  <c r="Z37"/>
  <c r="AB37"/>
  <c r="X36"/>
  <c r="Z36"/>
  <c r="AB36"/>
  <c r="X35"/>
  <c r="Z35"/>
  <c r="AB35"/>
  <c r="X34"/>
  <c r="Z34"/>
  <c r="AB34"/>
  <c r="X33"/>
  <c r="Z33"/>
  <c r="AB33"/>
  <c r="X32"/>
  <c r="Z32"/>
  <c r="AB32"/>
  <c r="X31"/>
  <c r="Z31"/>
  <c r="AB31"/>
  <c r="X30"/>
  <c r="Z30"/>
  <c r="AB30"/>
  <c r="X29"/>
  <c r="Z29"/>
  <c r="AB29"/>
  <c r="X28"/>
  <c r="Z28"/>
  <c r="AB28"/>
  <c r="X27"/>
  <c r="Z27"/>
  <c r="AB27"/>
  <c r="X26"/>
  <c r="Z26"/>
  <c r="AB26"/>
  <c r="X25"/>
  <c r="Z25"/>
  <c r="AB25"/>
  <c r="X24"/>
  <c r="Z24"/>
  <c r="AB24"/>
  <c r="X23"/>
  <c r="Z23"/>
  <c r="AB23"/>
  <c r="X22"/>
  <c r="Z22"/>
  <c r="AB22"/>
  <c r="X21"/>
  <c r="Z21"/>
  <c r="AB21"/>
  <c r="X20"/>
  <c r="Z20"/>
  <c r="AB20"/>
  <c r="X19"/>
  <c r="Z19"/>
  <c r="AB19"/>
  <c r="X18"/>
  <c r="Z18"/>
  <c r="AB18"/>
  <c r="X17"/>
  <c r="Z17"/>
  <c r="AB17"/>
  <c r="X16"/>
  <c r="Z16"/>
  <c r="AB16"/>
  <c r="X15"/>
  <c r="Z15"/>
  <c r="AB15"/>
  <c r="X14"/>
  <c r="Z14"/>
  <c r="AB14"/>
  <c r="X13"/>
  <c r="Z13"/>
  <c r="AB13"/>
  <c r="X12"/>
  <c r="Z12"/>
  <c r="AB12"/>
  <c r="X11"/>
  <c r="Z11"/>
  <c r="AB11"/>
  <c r="X10"/>
  <c r="Z10"/>
  <c r="AB10"/>
  <c r="X9"/>
  <c r="Z9"/>
  <c r="AB9"/>
  <c r="X8"/>
  <c r="Z8"/>
  <c r="AB8"/>
  <c r="X7"/>
  <c r="Z7"/>
  <c r="AB7"/>
  <c r="AC7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R10" i="100"/>
  <c r="R14"/>
  <c r="R8"/>
  <c r="R9"/>
  <c r="R11"/>
  <c r="R12"/>
  <c r="R13"/>
  <c r="R15"/>
  <c r="S10"/>
  <c r="S14"/>
  <c r="S8"/>
  <c r="S9"/>
  <c r="S11"/>
  <c r="S12"/>
  <c r="S13"/>
  <c r="S15"/>
  <c r="O14"/>
  <c r="C58" i="3"/>
  <c r="D58"/>
  <c r="E58"/>
  <c r="O90"/>
  <c r="O69"/>
  <c r="P69"/>
  <c r="Q69"/>
  <c r="O89"/>
  <c r="C102" i="60"/>
  <c r="D102"/>
  <c r="E102"/>
  <c r="O118"/>
  <c r="I102"/>
  <c r="J102"/>
  <c r="K102"/>
  <c r="O119"/>
  <c r="C14"/>
  <c r="D14"/>
  <c r="E14"/>
  <c r="O95"/>
  <c r="I14"/>
  <c r="J14"/>
  <c r="K14"/>
  <c r="O96"/>
  <c r="O14"/>
  <c r="P14"/>
  <c r="Q14"/>
  <c r="O97"/>
  <c r="C25"/>
  <c r="D25"/>
  <c r="E25"/>
  <c r="O98"/>
  <c r="I25"/>
  <c r="J25"/>
  <c r="K25"/>
  <c r="O99"/>
  <c r="O25"/>
  <c r="P25"/>
  <c r="Q25"/>
  <c r="I36"/>
  <c r="J36"/>
  <c r="K36"/>
  <c r="O101"/>
  <c r="O36"/>
  <c r="P36"/>
  <c r="Q36"/>
  <c r="O102"/>
  <c r="C47"/>
  <c r="D47"/>
  <c r="E47"/>
  <c r="O103"/>
  <c r="I47"/>
  <c r="J47"/>
  <c r="K47"/>
  <c r="O104"/>
  <c r="O47"/>
  <c r="P47"/>
  <c r="Q47"/>
  <c r="O105"/>
  <c r="C58"/>
  <c r="D58"/>
  <c r="E58"/>
  <c r="O106"/>
  <c r="I58"/>
  <c r="J58"/>
  <c r="K58"/>
  <c r="O107"/>
  <c r="O58"/>
  <c r="P58"/>
  <c r="Q58"/>
  <c r="O108"/>
  <c r="C69"/>
  <c r="D69"/>
  <c r="E69"/>
  <c r="O109"/>
  <c r="I69"/>
  <c r="J69"/>
  <c r="K69"/>
  <c r="O110"/>
  <c r="O69"/>
  <c r="P69"/>
  <c r="Q69"/>
  <c r="O111"/>
  <c r="C80"/>
  <c r="D80"/>
  <c r="E80"/>
  <c r="O112"/>
  <c r="I80"/>
  <c r="J80"/>
  <c r="K80"/>
  <c r="O113"/>
  <c r="P80"/>
  <c r="Q80"/>
  <c r="O114"/>
  <c r="C91"/>
  <c r="D91"/>
  <c r="E91"/>
  <c r="O115"/>
  <c r="I91"/>
  <c r="J91"/>
  <c r="K91"/>
  <c r="O116"/>
  <c r="O91"/>
  <c r="P91"/>
  <c r="Q91"/>
  <c r="O117"/>
  <c r="X138"/>
  <c r="Z138"/>
  <c r="AB138"/>
  <c r="X139"/>
  <c r="Z139"/>
  <c r="AB139"/>
  <c r="Z128"/>
  <c r="Z129"/>
  <c r="Z130"/>
  <c r="Z131"/>
  <c r="Z132"/>
  <c r="Z133"/>
  <c r="Z134"/>
  <c r="Z135"/>
  <c r="Z136"/>
  <c r="Z137"/>
  <c r="Z7"/>
  <c r="X128"/>
  <c r="X130"/>
  <c r="X131"/>
  <c r="X136"/>
  <c r="X134"/>
  <c r="X135"/>
  <c r="X137"/>
  <c r="X133"/>
  <c r="X129"/>
  <c r="X132"/>
  <c r="Z125"/>
  <c r="Z124"/>
  <c r="Z122"/>
  <c r="Z123"/>
  <c r="Z126"/>
  <c r="Z127"/>
  <c r="X125"/>
  <c r="X123"/>
  <c r="X124"/>
  <c r="X126"/>
  <c r="X127"/>
  <c r="X122"/>
  <c r="Z119"/>
  <c r="Z118"/>
  <c r="Z117"/>
  <c r="Z120"/>
  <c r="Z121"/>
  <c r="Z116"/>
  <c r="X121"/>
  <c r="X118"/>
  <c r="X117"/>
  <c r="X119"/>
  <c r="X120"/>
  <c r="X116"/>
  <c r="Z112"/>
  <c r="Z111"/>
  <c r="Z113"/>
  <c r="Z114"/>
  <c r="Z115"/>
  <c r="Z110"/>
  <c r="X115"/>
  <c r="X111"/>
  <c r="X112"/>
  <c r="X113"/>
  <c r="X114"/>
  <c r="X110"/>
  <c r="Z107"/>
  <c r="Z105"/>
  <c r="Z106"/>
  <c r="Z108"/>
  <c r="Z109"/>
  <c r="Z104"/>
  <c r="X108"/>
  <c r="X105"/>
  <c r="X106"/>
  <c r="X107"/>
  <c r="X109"/>
  <c r="X104"/>
  <c r="Z103"/>
  <c r="X103"/>
  <c r="Z102"/>
  <c r="Z101"/>
  <c r="Z100"/>
  <c r="X102"/>
  <c r="X101"/>
  <c r="X100"/>
  <c r="Z98"/>
  <c r="Z96"/>
  <c r="Z97"/>
  <c r="Z99"/>
  <c r="Z95"/>
  <c r="X98"/>
  <c r="X96"/>
  <c r="X97"/>
  <c r="X99"/>
  <c r="X95"/>
  <c r="Z94"/>
  <c r="Z93"/>
  <c r="Z91"/>
  <c r="Z92"/>
  <c r="Z90"/>
  <c r="X94"/>
  <c r="X91"/>
  <c r="X92"/>
  <c r="X93"/>
  <c r="X90"/>
  <c r="Z87"/>
  <c r="Z86"/>
  <c r="Z88"/>
  <c r="Z89"/>
  <c r="Z85"/>
  <c r="X88"/>
  <c r="X86"/>
  <c r="X87"/>
  <c r="X89"/>
  <c r="X85"/>
  <c r="Z81"/>
  <c r="Z82"/>
  <c r="Z83"/>
  <c r="Z84"/>
  <c r="Z80"/>
  <c r="X84"/>
  <c r="X83"/>
  <c r="X81"/>
  <c r="X82"/>
  <c r="X80"/>
  <c r="Z79"/>
  <c r="Z75"/>
  <c r="Z76"/>
  <c r="Z77"/>
  <c r="Z78"/>
  <c r="Z74"/>
  <c r="X76"/>
  <c r="X75"/>
  <c r="X77"/>
  <c r="X78"/>
  <c r="X79"/>
  <c r="X74"/>
  <c r="Z73"/>
  <c r="Z72"/>
  <c r="Z71"/>
  <c r="Z70"/>
  <c r="X73"/>
  <c r="X72"/>
  <c r="X71"/>
  <c r="X70"/>
  <c r="Z67"/>
  <c r="Z68"/>
  <c r="Z69"/>
  <c r="Z66"/>
  <c r="X69"/>
  <c r="X67"/>
  <c r="X68"/>
  <c r="X66"/>
  <c r="Z64"/>
  <c r="Z63"/>
  <c r="Z61"/>
  <c r="Z62"/>
  <c r="Z65"/>
  <c r="Z60"/>
  <c r="X65"/>
  <c r="X64"/>
  <c r="X63"/>
  <c r="X61"/>
  <c r="X62"/>
  <c r="X60"/>
  <c r="Z58"/>
  <c r="Z57"/>
  <c r="Z59"/>
  <c r="Z56"/>
  <c r="X57"/>
  <c r="X58"/>
  <c r="X59"/>
  <c r="X56"/>
  <c r="Z52"/>
  <c r="Z53"/>
  <c r="Z54"/>
  <c r="Z55"/>
  <c r="Z51"/>
  <c r="X53"/>
  <c r="X54"/>
  <c r="X52"/>
  <c r="X55"/>
  <c r="X51"/>
  <c r="Z50"/>
  <c r="Z46"/>
  <c r="Z47"/>
  <c r="Z48"/>
  <c r="Z49"/>
  <c r="X50"/>
  <c r="X47"/>
  <c r="X48"/>
  <c r="X49"/>
  <c r="X46"/>
  <c r="Z44"/>
  <c r="Z42"/>
  <c r="Z43"/>
  <c r="Z45"/>
  <c r="Z41"/>
  <c r="X44"/>
  <c r="X42"/>
  <c r="X43"/>
  <c r="X45"/>
  <c r="X41"/>
  <c r="Z39"/>
  <c r="X39"/>
  <c r="Z34"/>
  <c r="Z35"/>
  <c r="Z36"/>
  <c r="X37"/>
  <c r="X35"/>
  <c r="X36"/>
  <c r="Z33"/>
  <c r="Z29"/>
  <c r="Z30"/>
  <c r="Z31"/>
  <c r="Z32"/>
  <c r="Z28"/>
  <c r="X33"/>
  <c r="X29"/>
  <c r="X30"/>
  <c r="X31"/>
  <c r="X32"/>
  <c r="X28"/>
  <c r="Z27"/>
  <c r="Z24"/>
  <c r="Z25"/>
  <c r="Z26"/>
  <c r="Z23"/>
  <c r="X27"/>
  <c r="X24"/>
  <c r="X25"/>
  <c r="X26"/>
  <c r="X23"/>
  <c r="Z21"/>
  <c r="Z20"/>
  <c r="Z22"/>
  <c r="Z19"/>
  <c r="X21"/>
  <c r="X20"/>
  <c r="X22"/>
  <c r="X19"/>
  <c r="Z18"/>
  <c r="Z16"/>
  <c r="Z14"/>
  <c r="Z15"/>
  <c r="Z17"/>
  <c r="Z13"/>
  <c r="X18"/>
  <c r="X16"/>
  <c r="X14"/>
  <c r="X15"/>
  <c r="X17"/>
  <c r="X13"/>
  <c r="Z11"/>
  <c r="Z8"/>
  <c r="Z9"/>
  <c r="Z10"/>
  <c r="Z12"/>
  <c r="X11"/>
  <c r="X8"/>
  <c r="X9"/>
  <c r="X10"/>
  <c r="X12"/>
  <c r="X7"/>
  <c r="Z3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9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7"/>
  <c r="C14" i="58"/>
  <c r="D14"/>
  <c r="E14"/>
  <c r="O62"/>
  <c r="I14"/>
  <c r="J14"/>
  <c r="K14"/>
  <c r="O63"/>
  <c r="O14"/>
  <c r="P14"/>
  <c r="Q14"/>
  <c r="O64"/>
  <c r="C25"/>
  <c r="D25"/>
  <c r="E25"/>
  <c r="O65"/>
  <c r="I25"/>
  <c r="J25"/>
  <c r="K25"/>
  <c r="O66"/>
  <c r="O25"/>
  <c r="P25"/>
  <c r="Q25"/>
  <c r="O67"/>
  <c r="C36"/>
  <c r="D36"/>
  <c r="E36"/>
  <c r="O68"/>
  <c r="I36"/>
  <c r="J36"/>
  <c r="K36"/>
  <c r="O69"/>
  <c r="O36"/>
  <c r="P36"/>
  <c r="Q36"/>
  <c r="O70"/>
  <c r="C47"/>
  <c r="D47"/>
  <c r="E47"/>
  <c r="O71"/>
  <c r="I47"/>
  <c r="J47"/>
  <c r="K47"/>
  <c r="O72"/>
  <c r="O47"/>
  <c r="P47"/>
  <c r="Q47"/>
  <c r="O73"/>
  <c r="C58"/>
  <c r="D58"/>
  <c r="E58"/>
  <c r="O74"/>
  <c r="I58"/>
  <c r="J58"/>
  <c r="K58"/>
  <c r="O75"/>
  <c r="O58"/>
  <c r="P58"/>
  <c r="Q58"/>
  <c r="O76"/>
  <c r="AB10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X8" i="48"/>
  <c r="Z8"/>
  <c r="AB8"/>
  <c r="X9"/>
  <c r="Z9"/>
  <c r="AB9"/>
  <c r="X10"/>
  <c r="Z10"/>
  <c r="AB10"/>
  <c r="X11"/>
  <c r="Z11"/>
  <c r="AB11"/>
  <c r="X12"/>
  <c r="Z12"/>
  <c r="AB12"/>
  <c r="X13"/>
  <c r="Z13"/>
  <c r="AB13"/>
  <c r="X14"/>
  <c r="Z14"/>
  <c r="AB14"/>
  <c r="X15"/>
  <c r="Z15"/>
  <c r="AB15"/>
  <c r="X17"/>
  <c r="Z17"/>
  <c r="AB17"/>
  <c r="Z16"/>
  <c r="Z18"/>
  <c r="Z19"/>
  <c r="Z20"/>
  <c r="Z21"/>
  <c r="Z22"/>
  <c r="Z23"/>
  <c r="Z24"/>
  <c r="Z25"/>
  <c r="Z26"/>
  <c r="Z27"/>
  <c r="Z28"/>
  <c r="Z29"/>
  <c r="Z30"/>
  <c r="Z31"/>
  <c r="Z32"/>
  <c r="Z36"/>
  <c r="Z37"/>
  <c r="Z38"/>
  <c r="Z39"/>
  <c r="Z40"/>
  <c r="Z41"/>
  <c r="Z42"/>
  <c r="Z43"/>
  <c r="Z44"/>
  <c r="Z45"/>
  <c r="Z46"/>
  <c r="Z47"/>
  <c r="Z48"/>
  <c r="Z49"/>
  <c r="Z50"/>
  <c r="Z7"/>
  <c r="X16"/>
  <c r="X18"/>
  <c r="X19"/>
  <c r="X20"/>
  <c r="X21"/>
  <c r="X22"/>
  <c r="X23"/>
  <c r="X24"/>
  <c r="X25"/>
  <c r="X26"/>
  <c r="X27"/>
  <c r="X28"/>
  <c r="X29"/>
  <c r="X30"/>
  <c r="X31"/>
  <c r="X32"/>
  <c r="X36"/>
  <c r="X37"/>
  <c r="X38"/>
  <c r="X39"/>
  <c r="X40"/>
  <c r="X41"/>
  <c r="X42"/>
  <c r="X43"/>
  <c r="X44"/>
  <c r="X45"/>
  <c r="X46"/>
  <c r="X47"/>
  <c r="X48"/>
  <c r="X49"/>
  <c r="X50"/>
  <c r="X7"/>
  <c r="Z35"/>
  <c r="X35"/>
  <c r="Z34"/>
  <c r="Z33"/>
  <c r="X34"/>
  <c r="X33"/>
  <c r="Z55"/>
  <c r="Z56"/>
  <c r="Z54"/>
  <c r="Z52"/>
  <c r="Z53"/>
  <c r="Z51"/>
  <c r="X55"/>
  <c r="X56"/>
  <c r="X54"/>
  <c r="X52"/>
  <c r="X53"/>
  <c r="X51"/>
  <c r="AB54"/>
  <c r="AB55"/>
  <c r="AB56"/>
  <c r="AB51"/>
  <c r="AB52"/>
  <c r="AB53"/>
  <c r="AB16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7"/>
  <c r="C14"/>
  <c r="D14"/>
  <c r="E14"/>
  <c r="O29"/>
  <c r="I36"/>
  <c r="J36"/>
  <c r="K36"/>
  <c r="O36"/>
  <c r="C36"/>
  <c r="D36"/>
  <c r="E36"/>
  <c r="O35"/>
  <c r="O25"/>
  <c r="P25"/>
  <c r="Q25"/>
  <c r="O34"/>
  <c r="I25"/>
  <c r="J25"/>
  <c r="K25"/>
  <c r="O33"/>
  <c r="C25"/>
  <c r="D25"/>
  <c r="E25"/>
  <c r="O32"/>
  <c r="O14"/>
  <c r="P14"/>
  <c r="Q14"/>
  <c r="O31"/>
  <c r="I14"/>
  <c r="J14"/>
  <c r="K14"/>
  <c r="O30"/>
  <c r="C25" i="3"/>
  <c r="D25"/>
  <c r="E25"/>
  <c r="O76"/>
  <c r="I25"/>
  <c r="J25"/>
  <c r="K25"/>
  <c r="O77"/>
  <c r="O25"/>
  <c r="P25"/>
  <c r="Q25"/>
  <c r="O78"/>
  <c r="C14"/>
  <c r="D14"/>
  <c r="E14"/>
  <c r="O73"/>
  <c r="I14"/>
  <c r="J14"/>
  <c r="K14"/>
  <c r="O74"/>
  <c r="O14"/>
  <c r="P14"/>
  <c r="Q14"/>
  <c r="O75"/>
  <c r="C36"/>
  <c r="D36"/>
  <c r="E36"/>
  <c r="O79"/>
  <c r="I36"/>
  <c r="J36"/>
  <c r="K36"/>
  <c r="O80"/>
  <c r="O36"/>
  <c r="P36"/>
  <c r="Q36"/>
  <c r="O81"/>
  <c r="C47"/>
  <c r="D47"/>
  <c r="E47"/>
  <c r="O82"/>
  <c r="I47"/>
  <c r="J47"/>
  <c r="K47"/>
  <c r="O83"/>
  <c r="O47"/>
  <c r="P47"/>
  <c r="Q47"/>
  <c r="O84"/>
  <c r="I58"/>
  <c r="J58"/>
  <c r="K58"/>
  <c r="O85"/>
  <c r="O58"/>
  <c r="P58"/>
  <c r="Q58"/>
  <c r="O86"/>
  <c r="C69"/>
  <c r="D69"/>
  <c r="E69"/>
  <c r="O87"/>
  <c r="I69"/>
  <c r="J69"/>
  <c r="K69"/>
  <c r="O88"/>
  <c r="P36" i="63"/>
  <c r="O36"/>
  <c r="J36"/>
  <c r="I36"/>
  <c r="C36"/>
  <c r="C14"/>
  <c r="D14"/>
  <c r="E14"/>
  <c r="Z90"/>
  <c r="Z87"/>
  <c r="Z88"/>
  <c r="Z89"/>
  <c r="Z91"/>
  <c r="Z86"/>
  <c r="X89"/>
  <c r="X87"/>
  <c r="X88"/>
  <c r="X90"/>
  <c r="X91"/>
  <c r="X86"/>
  <c r="Z81"/>
  <c r="Z83"/>
  <c r="Z82"/>
  <c r="Z84"/>
  <c r="Z85"/>
  <c r="X84"/>
  <c r="X82"/>
  <c r="X83"/>
  <c r="X85"/>
  <c r="X81"/>
  <c r="Z79"/>
  <c r="Z76"/>
  <c r="Z77"/>
  <c r="Z78"/>
  <c r="Z80"/>
  <c r="Z75"/>
  <c r="X79"/>
  <c r="X76"/>
  <c r="X77"/>
  <c r="X78"/>
  <c r="X80"/>
  <c r="X75"/>
  <c r="Z72"/>
  <c r="Z70"/>
  <c r="Z71"/>
  <c r="Z73"/>
  <c r="Z74"/>
  <c r="Z69"/>
  <c r="X73"/>
  <c r="X70"/>
  <c r="X71"/>
  <c r="X72"/>
  <c r="X74"/>
  <c r="X69"/>
  <c r="Z66"/>
  <c r="Z64"/>
  <c r="Z65"/>
  <c r="Z67"/>
  <c r="Z68"/>
  <c r="Z63"/>
  <c r="X67"/>
  <c r="X64"/>
  <c r="X65"/>
  <c r="X66"/>
  <c r="X68"/>
  <c r="X63"/>
  <c r="Z60"/>
  <c r="Z58"/>
  <c r="Z59"/>
  <c r="Z61"/>
  <c r="Z62"/>
  <c r="Z57"/>
  <c r="X61"/>
  <c r="X58"/>
  <c r="X59"/>
  <c r="X60"/>
  <c r="X62"/>
  <c r="X57"/>
  <c r="Z55"/>
  <c r="Z52"/>
  <c r="Z53"/>
  <c r="Z54"/>
  <c r="Z56"/>
  <c r="Z51"/>
  <c r="X53"/>
  <c r="X52"/>
  <c r="X54"/>
  <c r="X55"/>
  <c r="X56"/>
  <c r="X51"/>
  <c r="Z50"/>
  <c r="Z49"/>
  <c r="X50"/>
  <c r="X49"/>
  <c r="Z48"/>
  <c r="X48"/>
  <c r="X47"/>
  <c r="Z46"/>
  <c r="Z45"/>
  <c r="Z43"/>
  <c r="Z44"/>
  <c r="Z47"/>
  <c r="Z42"/>
  <c r="X45"/>
  <c r="X43"/>
  <c r="X44"/>
  <c r="X46"/>
  <c r="X42"/>
  <c r="Z40"/>
  <c r="Z37"/>
  <c r="Z38"/>
  <c r="Z39"/>
  <c r="Z41"/>
  <c r="Z36"/>
  <c r="X39"/>
  <c r="X37"/>
  <c r="X38"/>
  <c r="X40"/>
  <c r="X41"/>
  <c r="X36"/>
  <c r="Z31"/>
  <c r="Z32"/>
  <c r="Z33"/>
  <c r="Z34"/>
  <c r="Z35"/>
  <c r="Z30"/>
  <c r="X31"/>
  <c r="X32"/>
  <c r="X33"/>
  <c r="X34"/>
  <c r="X35"/>
  <c r="X30"/>
  <c r="Z27"/>
  <c r="Z25"/>
  <c r="Z26"/>
  <c r="Z28"/>
  <c r="Z29"/>
  <c r="Z24"/>
  <c r="X27"/>
  <c r="X25"/>
  <c r="X26"/>
  <c r="X28"/>
  <c r="X29"/>
  <c r="X24"/>
  <c r="Z23"/>
  <c r="Z22"/>
  <c r="X23"/>
  <c r="X22"/>
  <c r="Z20"/>
  <c r="X20"/>
  <c r="Z19"/>
  <c r="Z18"/>
  <c r="Z17"/>
  <c r="X16"/>
  <c r="X18"/>
  <c r="X19"/>
  <c r="X17"/>
  <c r="Z15"/>
  <c r="Z14"/>
  <c r="Z16"/>
  <c r="Z21"/>
  <c r="X21"/>
  <c r="X15"/>
  <c r="X14"/>
  <c r="Z13"/>
  <c r="Z12"/>
  <c r="X13"/>
  <c r="X12"/>
  <c r="Z10"/>
  <c r="Z8"/>
  <c r="Z9"/>
  <c r="Z11"/>
  <c r="Z7"/>
  <c r="X10"/>
  <c r="X8"/>
  <c r="X9"/>
  <c r="X11"/>
  <c r="X7"/>
  <c r="AB7"/>
  <c r="Z92"/>
  <c r="Z93"/>
  <c r="Z94"/>
  <c r="AA94"/>
  <c r="AA7"/>
  <c r="X92"/>
  <c r="X93"/>
  <c r="X94"/>
  <c r="Y94"/>
  <c r="Y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O51"/>
  <c r="I58"/>
  <c r="J58"/>
  <c r="K58"/>
  <c r="O64"/>
  <c r="C58"/>
  <c r="D58"/>
  <c r="E58"/>
  <c r="O63"/>
  <c r="O47"/>
  <c r="P47"/>
  <c r="Q47"/>
  <c r="O62"/>
  <c r="I47"/>
  <c r="J47"/>
  <c r="K47"/>
  <c r="O61"/>
  <c r="C47"/>
  <c r="D47"/>
  <c r="E47"/>
  <c r="O60"/>
  <c r="Q36"/>
  <c r="O59"/>
  <c r="K36"/>
  <c r="O58"/>
  <c r="D36"/>
  <c r="E36"/>
  <c r="O57"/>
  <c r="O25"/>
  <c r="P25"/>
  <c r="Q25"/>
  <c r="O56"/>
  <c r="I25"/>
  <c r="J25"/>
  <c r="K25"/>
  <c r="O55"/>
  <c r="C25"/>
  <c r="D25"/>
  <c r="E25"/>
  <c r="O54"/>
  <c r="O14"/>
  <c r="P14"/>
  <c r="Q14"/>
  <c r="O53"/>
  <c r="I14"/>
  <c r="J14"/>
  <c r="K14"/>
  <c r="O52"/>
  <c r="X11" i="62"/>
  <c r="Z11"/>
  <c r="AB11"/>
  <c r="X8"/>
  <c r="X9"/>
  <c r="X10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E57" i="3"/>
  <c r="E56"/>
  <c r="Z60" i="35"/>
  <c r="X60"/>
  <c r="C14" i="64"/>
  <c r="D14"/>
  <c r="E14"/>
  <c r="O20"/>
  <c r="Z28"/>
  <c r="Z27"/>
  <c r="G14" i="104"/>
  <c r="G8"/>
  <c r="G9"/>
  <c r="G10"/>
  <c r="G11"/>
  <c r="G12"/>
  <c r="G13"/>
  <c r="G15"/>
  <c r="H14"/>
  <c r="H8"/>
  <c r="H9"/>
  <c r="H10"/>
  <c r="H11"/>
  <c r="H12"/>
  <c r="H13"/>
  <c r="H15"/>
  <c r="D14"/>
  <c r="I14"/>
  <c r="I8"/>
  <c r="I9"/>
  <c r="I10"/>
  <c r="I11"/>
  <c r="I12"/>
  <c r="I13"/>
  <c r="I15"/>
  <c r="J14"/>
  <c r="J8"/>
  <c r="J9"/>
  <c r="J10"/>
  <c r="J11"/>
  <c r="J12"/>
  <c r="J13"/>
  <c r="J15"/>
  <c r="E14"/>
  <c r="F14"/>
  <c r="Z7"/>
  <c r="AA7"/>
  <c r="X28" i="64"/>
  <c r="X27"/>
  <c r="Z26"/>
  <c r="Z25"/>
  <c r="Z24"/>
  <c r="Z22"/>
  <c r="Z23"/>
  <c r="Z21"/>
  <c r="X25"/>
  <c r="X22"/>
  <c r="X23"/>
  <c r="X24"/>
  <c r="X26"/>
  <c r="X21"/>
  <c r="Z19"/>
  <c r="X18"/>
  <c r="Z18"/>
  <c r="Z20"/>
  <c r="Z17"/>
  <c r="X19"/>
  <c r="X20"/>
  <c r="X17"/>
  <c r="Z16"/>
  <c r="Z15"/>
  <c r="Z14"/>
  <c r="Z13"/>
  <c r="X15"/>
  <c r="X14"/>
  <c r="X16"/>
  <c r="X13"/>
  <c r="Z12"/>
  <c r="Z10"/>
  <c r="Z9"/>
  <c r="Z11"/>
  <c r="Z8"/>
  <c r="X12"/>
  <c r="X10"/>
  <c r="X9"/>
  <c r="X11"/>
  <c r="X8"/>
  <c r="X7"/>
  <c r="Z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7"/>
  <c r="C25"/>
  <c r="D25"/>
  <c r="E25"/>
  <c r="O23"/>
  <c r="O14"/>
  <c r="P14"/>
  <c r="Q14"/>
  <c r="O22"/>
  <c r="I14"/>
  <c r="J14"/>
  <c r="K14"/>
  <c r="O21"/>
  <c r="G8" i="105"/>
  <c r="G9"/>
  <c r="G11"/>
  <c r="G12"/>
  <c r="G14"/>
  <c r="G10"/>
  <c r="G13"/>
  <c r="G15"/>
  <c r="H8"/>
  <c r="H9"/>
  <c r="H11"/>
  <c r="H12"/>
  <c r="H14"/>
  <c r="H10"/>
  <c r="H13"/>
  <c r="H15"/>
  <c r="D14"/>
  <c r="I8"/>
  <c r="I9"/>
  <c r="I11"/>
  <c r="I12"/>
  <c r="I14"/>
  <c r="I10"/>
  <c r="I13"/>
  <c r="I15"/>
  <c r="J8"/>
  <c r="J9"/>
  <c r="J11"/>
  <c r="J12"/>
  <c r="J14"/>
  <c r="J10"/>
  <c r="J13"/>
  <c r="J15"/>
  <c r="E14"/>
  <c r="F14"/>
  <c r="Z7"/>
  <c r="X81" i="59"/>
  <c r="Z81"/>
  <c r="AB81"/>
  <c r="X82"/>
  <c r="Z82"/>
  <c r="AB82"/>
  <c r="X83"/>
  <c r="Z83"/>
  <c r="AB83"/>
  <c r="X84"/>
  <c r="Z84"/>
  <c r="AB84"/>
  <c r="X85"/>
  <c r="Z85"/>
  <c r="AB85"/>
  <c r="X86"/>
  <c r="Z86"/>
  <c r="AB86"/>
  <c r="X7"/>
  <c r="Z7"/>
  <c r="AB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AA80"/>
  <c r="AA81"/>
  <c r="AA82"/>
  <c r="AA83"/>
  <c r="AA84"/>
  <c r="AA85"/>
  <c r="AA86"/>
  <c r="AA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Y80"/>
  <c r="Y81"/>
  <c r="Y82"/>
  <c r="Y83"/>
  <c r="Y84"/>
  <c r="Y85"/>
  <c r="Y86"/>
  <c r="Y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O14"/>
  <c r="P14"/>
  <c r="Q14"/>
  <c r="O53"/>
  <c r="I14"/>
  <c r="J14"/>
  <c r="K14"/>
  <c r="O52"/>
  <c r="C14"/>
  <c r="D14"/>
  <c r="E14"/>
  <c r="O51"/>
  <c r="C25"/>
  <c r="D25"/>
  <c r="E25"/>
  <c r="O54"/>
  <c r="O25"/>
  <c r="P25"/>
  <c r="Q25"/>
  <c r="O56"/>
  <c r="I25"/>
  <c r="J25"/>
  <c r="K25"/>
  <c r="O55"/>
  <c r="C36"/>
  <c r="D36"/>
  <c r="E36"/>
  <c r="O57"/>
  <c r="I36"/>
  <c r="J36"/>
  <c r="K36"/>
  <c r="O58"/>
  <c r="O36"/>
  <c r="P36"/>
  <c r="Q36"/>
  <c r="O59"/>
  <c r="C47"/>
  <c r="D47"/>
  <c r="E47"/>
  <c r="O60"/>
  <c r="I47"/>
  <c r="J47"/>
  <c r="K47"/>
  <c r="O61"/>
  <c r="O47"/>
  <c r="P47"/>
  <c r="Q47"/>
  <c r="O62"/>
  <c r="C58"/>
  <c r="D58"/>
  <c r="E58"/>
  <c r="O63"/>
  <c r="X7" i="75"/>
  <c r="Z7"/>
  <c r="AB7"/>
  <c r="Z8"/>
  <c r="Z9"/>
  <c r="Z10"/>
  <c r="Z11"/>
  <c r="Z12"/>
  <c r="Z13"/>
  <c r="Z14"/>
  <c r="Z15"/>
  <c r="Z16"/>
  <c r="AA16"/>
  <c r="AA17"/>
  <c r="AA18"/>
  <c r="AA19"/>
  <c r="AA20"/>
  <c r="AA7"/>
  <c r="X8"/>
  <c r="X9"/>
  <c r="X10"/>
  <c r="X11"/>
  <c r="X12"/>
  <c r="X13"/>
  <c r="X14"/>
  <c r="X15"/>
  <c r="X16"/>
  <c r="Y16"/>
  <c r="Y17"/>
  <c r="Y18"/>
  <c r="Y19"/>
  <c r="Y20"/>
  <c r="Y7"/>
  <c r="C14"/>
  <c r="D14"/>
  <c r="E14"/>
  <c r="O7"/>
  <c r="R10" i="105"/>
  <c r="R11"/>
  <c r="R12"/>
  <c r="R13"/>
  <c r="R8"/>
  <c r="R9"/>
  <c r="R14"/>
  <c r="R15"/>
  <c r="S10"/>
  <c r="S11"/>
  <c r="S12"/>
  <c r="S13"/>
  <c r="S8"/>
  <c r="S9"/>
  <c r="S14"/>
  <c r="S15"/>
  <c r="O14"/>
  <c r="T10"/>
  <c r="T11"/>
  <c r="T12"/>
  <c r="T13"/>
  <c r="T8"/>
  <c r="T9"/>
  <c r="T14"/>
  <c r="T15"/>
  <c r="U10"/>
  <c r="U11"/>
  <c r="U12"/>
  <c r="U13"/>
  <c r="U8"/>
  <c r="U9"/>
  <c r="U14"/>
  <c r="U15"/>
  <c r="P14"/>
  <c r="Q14"/>
  <c r="Z8"/>
  <c r="I14" i="75"/>
  <c r="J14"/>
  <c r="K14"/>
  <c r="O8"/>
  <c r="AB19"/>
  <c r="AB20"/>
  <c r="AB17"/>
  <c r="AB18"/>
  <c r="AB8"/>
  <c r="AB9"/>
  <c r="AB10"/>
  <c r="AB11"/>
  <c r="AB12"/>
  <c r="AB13"/>
  <c r="AB14"/>
  <c r="AB15"/>
  <c r="AB16"/>
  <c r="AD23" i="91"/>
  <c r="AD22"/>
  <c r="AD21"/>
  <c r="AD20"/>
  <c r="AD19"/>
  <c r="AD18"/>
  <c r="AD14"/>
  <c r="AD9"/>
  <c r="AD8"/>
  <c r="R16"/>
  <c r="R15"/>
  <c r="R14"/>
  <c r="R9"/>
  <c r="R8"/>
  <c r="AE19"/>
  <c r="AE20"/>
  <c r="AE21"/>
  <c r="AE22"/>
  <c r="AE23"/>
  <c r="AE18"/>
  <c r="AE14"/>
  <c r="AE8"/>
  <c r="AE9"/>
  <c r="AE10"/>
  <c r="AF8"/>
  <c r="S14"/>
  <c r="S15"/>
  <c r="S16"/>
  <c r="F8"/>
  <c r="C14" i="65"/>
  <c r="D14"/>
  <c r="E14"/>
  <c r="O18"/>
  <c r="X9"/>
  <c r="Z9"/>
  <c r="AB9"/>
  <c r="X10"/>
  <c r="Z10"/>
  <c r="AB10"/>
  <c r="X11"/>
  <c r="Z11"/>
  <c r="AB11"/>
  <c r="X12"/>
  <c r="Z12"/>
  <c r="AB12"/>
  <c r="X16"/>
  <c r="Z16"/>
  <c r="AB16"/>
  <c r="X17"/>
  <c r="Z17"/>
  <c r="AB17"/>
  <c r="X18"/>
  <c r="Z18"/>
  <c r="AB18"/>
  <c r="X19"/>
  <c r="Z19"/>
  <c r="AB19"/>
  <c r="X20"/>
  <c r="Z20"/>
  <c r="AB20"/>
  <c r="X21"/>
  <c r="Z21"/>
  <c r="AB21"/>
  <c r="X22"/>
  <c r="Z22"/>
  <c r="AB22"/>
  <c r="X23"/>
  <c r="Z23"/>
  <c r="AB23"/>
  <c r="X24"/>
  <c r="Z24"/>
  <c r="AB24"/>
  <c r="X25"/>
  <c r="Z25"/>
  <c r="AB25"/>
  <c r="X26"/>
  <c r="Z26"/>
  <c r="AB26"/>
  <c r="X7"/>
  <c r="Z7"/>
  <c r="AB7"/>
  <c r="X8"/>
  <c r="X13"/>
  <c r="X14"/>
  <c r="X15"/>
  <c r="Y15"/>
  <c r="Y16"/>
  <c r="Y17"/>
  <c r="Y18"/>
  <c r="Y19"/>
  <c r="Y20"/>
  <c r="Y21"/>
  <c r="Y22"/>
  <c r="Y23"/>
  <c r="Y24"/>
  <c r="Y25"/>
  <c r="Y26"/>
  <c r="Y7"/>
  <c r="Z14"/>
  <c r="Z15"/>
  <c r="Z13"/>
  <c r="Z8"/>
  <c r="AB8"/>
  <c r="AB13"/>
  <c r="AB14"/>
  <c r="AB15"/>
  <c r="O14"/>
  <c r="P14"/>
  <c r="Q14"/>
  <c r="O20"/>
  <c r="I14"/>
  <c r="J14"/>
  <c r="K14"/>
  <c r="O19"/>
  <c r="X7" i="101"/>
  <c r="Z7"/>
  <c r="AB7"/>
  <c r="X8"/>
  <c r="Z8"/>
  <c r="AB8"/>
  <c r="X9"/>
  <c r="Z9"/>
  <c r="AB9"/>
  <c r="AC9"/>
  <c r="AA8"/>
  <c r="AA9"/>
  <c r="AA7"/>
  <c r="Y8"/>
  <c r="Y9"/>
  <c r="X7" i="51"/>
  <c r="Z7"/>
  <c r="AB7"/>
  <c r="Z8"/>
  <c r="Z9"/>
  <c r="Z10"/>
  <c r="Z11"/>
  <c r="Z12"/>
  <c r="Z13"/>
  <c r="Z14"/>
  <c r="Z32"/>
  <c r="X8"/>
  <c r="X9"/>
  <c r="X10"/>
  <c r="X11"/>
  <c r="X12"/>
  <c r="X13"/>
  <c r="X14"/>
  <c r="X32"/>
  <c r="Z37"/>
  <c r="Z38"/>
  <c r="Z36"/>
  <c r="AB8"/>
  <c r="AB9"/>
  <c r="AB10"/>
  <c r="AB11"/>
  <c r="AB12"/>
  <c r="AB13"/>
  <c r="AB14"/>
  <c r="X15"/>
  <c r="Z15"/>
  <c r="AB15"/>
  <c r="X16"/>
  <c r="Z16"/>
  <c r="AB16"/>
  <c r="X17"/>
  <c r="Z17"/>
  <c r="AB17"/>
  <c r="X18"/>
  <c r="Z18"/>
  <c r="AB18"/>
  <c r="X19"/>
  <c r="Z19"/>
  <c r="AB19"/>
  <c r="X20"/>
  <c r="Z20"/>
  <c r="AB20"/>
  <c r="X21"/>
  <c r="Z21"/>
  <c r="AB21"/>
  <c r="X22"/>
  <c r="Z22"/>
  <c r="AB22"/>
  <c r="X23"/>
  <c r="Z23"/>
  <c r="AB23"/>
  <c r="X24"/>
  <c r="Z24"/>
  <c r="AB24"/>
  <c r="X25"/>
  <c r="Z25"/>
  <c r="AB25"/>
  <c r="X26"/>
  <c r="Z26"/>
  <c r="AB26"/>
  <c r="X27"/>
  <c r="Z27"/>
  <c r="AB27"/>
  <c r="X28"/>
  <c r="Z28"/>
  <c r="AB28"/>
  <c r="X29"/>
  <c r="Z29"/>
  <c r="AB29"/>
  <c r="X30"/>
  <c r="Z30"/>
  <c r="AB30"/>
  <c r="X31"/>
  <c r="Z31"/>
  <c r="AB31"/>
  <c r="AB32"/>
  <c r="X33"/>
  <c r="Z33"/>
  <c r="AB33"/>
  <c r="X34"/>
  <c r="Z34"/>
  <c r="AB34"/>
  <c r="X35"/>
  <c r="Z35"/>
  <c r="AB35"/>
  <c r="X36"/>
  <c r="AB36"/>
  <c r="X37"/>
  <c r="AB37"/>
  <c r="X38"/>
  <c r="AB38"/>
  <c r="I25"/>
  <c r="J25"/>
  <c r="K25"/>
  <c r="O22"/>
  <c r="C25"/>
  <c r="D25"/>
  <c r="E25"/>
  <c r="O21"/>
  <c r="O14"/>
  <c r="P14"/>
  <c r="Q14"/>
  <c r="O20"/>
  <c r="I14"/>
  <c r="J14"/>
  <c r="K14"/>
  <c r="O19"/>
  <c r="C14"/>
  <c r="D14"/>
  <c r="E14"/>
  <c r="O18"/>
  <c r="G8" i="90"/>
  <c r="G9"/>
  <c r="G10"/>
  <c r="G11"/>
  <c r="G12"/>
  <c r="G13"/>
  <c r="G14"/>
  <c r="G15"/>
  <c r="H8"/>
  <c r="H9"/>
  <c r="H10"/>
  <c r="H11"/>
  <c r="H12"/>
  <c r="H13"/>
  <c r="H14"/>
  <c r="H15"/>
  <c r="D14"/>
  <c r="I8"/>
  <c r="I9"/>
  <c r="I10"/>
  <c r="I11"/>
  <c r="I12"/>
  <c r="I13"/>
  <c r="I14"/>
  <c r="I15"/>
  <c r="J8"/>
  <c r="J9"/>
  <c r="J10"/>
  <c r="J11"/>
  <c r="J12"/>
  <c r="J13"/>
  <c r="J14"/>
  <c r="J15"/>
  <c r="E14"/>
  <c r="F14"/>
  <c r="Z7"/>
  <c r="AB7" i="73"/>
  <c r="T8" i="90"/>
  <c r="T9"/>
  <c r="T10"/>
  <c r="T11"/>
  <c r="T12"/>
  <c r="T13"/>
  <c r="T14"/>
  <c r="T15"/>
  <c r="U14"/>
  <c r="U15"/>
  <c r="R14"/>
  <c r="S14"/>
  <c r="Z8"/>
  <c r="Z12" i="73"/>
  <c r="Z13"/>
  <c r="Z11"/>
  <c r="X12"/>
  <c r="X13"/>
  <c r="X11"/>
  <c r="Z10"/>
  <c r="Z9"/>
  <c r="X10"/>
  <c r="AB11"/>
  <c r="AB12"/>
  <c r="AB13"/>
  <c r="AB9"/>
  <c r="AB10"/>
  <c r="AB8"/>
  <c r="X9" i="47"/>
  <c r="Z9"/>
  <c r="AB9"/>
  <c r="X10"/>
  <c r="Z10"/>
  <c r="AB10"/>
  <c r="X11"/>
  <c r="Z11"/>
  <c r="AB11"/>
  <c r="X12"/>
  <c r="Z12"/>
  <c r="AB12"/>
  <c r="X13"/>
  <c r="Z13"/>
  <c r="AB13"/>
  <c r="X14"/>
  <c r="Z14"/>
  <c r="AB14"/>
  <c r="X15"/>
  <c r="Z15"/>
  <c r="AB15"/>
  <c r="X16"/>
  <c r="Z16"/>
  <c r="AB16"/>
  <c r="X17"/>
  <c r="Z17"/>
  <c r="AB17"/>
  <c r="X18"/>
  <c r="Z18"/>
  <c r="AB18"/>
  <c r="X19"/>
  <c r="Z19"/>
  <c r="AB19"/>
  <c r="X20"/>
  <c r="Z20"/>
  <c r="AB20"/>
  <c r="X7"/>
  <c r="Z7"/>
  <c r="AB7"/>
  <c r="Q10" i="89"/>
  <c r="R8"/>
  <c r="R9"/>
  <c r="R10"/>
  <c r="R11"/>
  <c r="R12"/>
  <c r="R13"/>
  <c r="R14"/>
  <c r="R15"/>
  <c r="S14"/>
  <c r="S15"/>
  <c r="T8"/>
  <c r="T9"/>
  <c r="T10"/>
  <c r="T11"/>
  <c r="T12"/>
  <c r="T13"/>
  <c r="T14"/>
  <c r="T15"/>
  <c r="U14"/>
  <c r="U15"/>
  <c r="Q14"/>
  <c r="G8"/>
  <c r="G9"/>
  <c r="G11"/>
  <c r="G12"/>
  <c r="G13"/>
  <c r="G14"/>
  <c r="G10"/>
  <c r="G15"/>
  <c r="H8"/>
  <c r="H9"/>
  <c r="H11"/>
  <c r="H12"/>
  <c r="H13"/>
  <c r="H14"/>
  <c r="H10"/>
  <c r="H15"/>
  <c r="D14"/>
  <c r="I8"/>
  <c r="I9"/>
  <c r="I11"/>
  <c r="I12"/>
  <c r="I13"/>
  <c r="I14"/>
  <c r="I10"/>
  <c r="I15"/>
  <c r="J8"/>
  <c r="J9"/>
  <c r="J11"/>
  <c r="J12"/>
  <c r="J13"/>
  <c r="J14"/>
  <c r="J10"/>
  <c r="J15"/>
  <c r="E14"/>
  <c r="F14"/>
  <c r="Z7"/>
  <c r="Z8"/>
  <c r="C14" i="47"/>
  <c r="D14"/>
  <c r="E14"/>
  <c r="O13"/>
  <c r="I14"/>
  <c r="J14"/>
  <c r="K14"/>
  <c r="X8"/>
  <c r="Z24"/>
  <c r="Z23"/>
  <c r="Z22"/>
  <c r="Z21"/>
  <c r="X24"/>
  <c r="X23"/>
  <c r="X22"/>
  <c r="X21"/>
  <c r="AB23"/>
  <c r="AB24"/>
  <c r="AB21"/>
  <c r="AB22"/>
  <c r="Z8"/>
  <c r="X9" i="45"/>
  <c r="Z9"/>
  <c r="AB9"/>
  <c r="X10"/>
  <c r="Z10"/>
  <c r="AB10"/>
  <c r="X11"/>
  <c r="Z11"/>
  <c r="AB11"/>
  <c r="X12"/>
  <c r="Z12"/>
  <c r="AB12"/>
  <c r="X13"/>
  <c r="Z13"/>
  <c r="AB13"/>
  <c r="X14"/>
  <c r="Z14"/>
  <c r="AB14"/>
  <c r="X15"/>
  <c r="Z15"/>
  <c r="AB15"/>
  <c r="X16"/>
  <c r="Z16"/>
  <c r="AB16"/>
  <c r="X17"/>
  <c r="Z17"/>
  <c r="AB17"/>
  <c r="X18"/>
  <c r="Z18"/>
  <c r="AB18"/>
  <c r="X19"/>
  <c r="Z19"/>
  <c r="AB19"/>
  <c r="X20"/>
  <c r="Z20"/>
  <c r="AB20"/>
  <c r="X21"/>
  <c r="Z21"/>
  <c r="AB21"/>
  <c r="X22"/>
  <c r="Z22"/>
  <c r="AB22"/>
  <c r="X23"/>
  <c r="Z23"/>
  <c r="AB23"/>
  <c r="X25"/>
  <c r="Z25"/>
  <c r="AB25"/>
  <c r="X26"/>
  <c r="Z26"/>
  <c r="AB26"/>
  <c r="X27"/>
  <c r="Z27"/>
  <c r="AB27"/>
  <c r="X28"/>
  <c r="Z28"/>
  <c r="AB28"/>
  <c r="X31"/>
  <c r="Z31"/>
  <c r="AB31"/>
  <c r="X32"/>
  <c r="Z32"/>
  <c r="AB32"/>
  <c r="X33"/>
  <c r="Z33"/>
  <c r="AB33"/>
  <c r="X34"/>
  <c r="Z34"/>
  <c r="AB34"/>
  <c r="X35"/>
  <c r="Z35"/>
  <c r="AB35"/>
  <c r="X36"/>
  <c r="Z36"/>
  <c r="AB36"/>
  <c r="X37"/>
  <c r="Z37"/>
  <c r="AB37"/>
  <c r="X38"/>
  <c r="Z38"/>
  <c r="AB38"/>
  <c r="X39"/>
  <c r="Z39"/>
  <c r="AB39"/>
  <c r="X40"/>
  <c r="Z40"/>
  <c r="AB40"/>
  <c r="X41"/>
  <c r="Z41"/>
  <c r="AB41"/>
  <c r="X42"/>
  <c r="Z42"/>
  <c r="AB42"/>
  <c r="X43"/>
  <c r="Z43"/>
  <c r="AB43"/>
  <c r="X44"/>
  <c r="Z44"/>
  <c r="AB44"/>
  <c r="X45"/>
  <c r="Z45"/>
  <c r="AB45"/>
  <c r="Z8"/>
  <c r="Z7"/>
  <c r="X8"/>
  <c r="X7"/>
  <c r="Z30"/>
  <c r="Z29"/>
  <c r="X30"/>
  <c r="X29"/>
  <c r="C14"/>
  <c r="D14"/>
  <c r="E14"/>
  <c r="O29"/>
  <c r="C36"/>
  <c r="D36"/>
  <c r="E36"/>
  <c r="O35"/>
  <c r="O25"/>
  <c r="P25"/>
  <c r="Q25"/>
  <c r="O34"/>
  <c r="I25"/>
  <c r="J25"/>
  <c r="K25"/>
  <c r="O33"/>
  <c r="C25"/>
  <c r="D25"/>
  <c r="E25"/>
  <c r="O32"/>
  <c r="O14"/>
  <c r="P14"/>
  <c r="Q14"/>
  <c r="O31"/>
  <c r="I14"/>
  <c r="J14"/>
  <c r="O30"/>
  <c r="AB8"/>
  <c r="AB29"/>
  <c r="AB30"/>
  <c r="X46"/>
  <c r="Z46"/>
  <c r="AB46"/>
  <c r="X47"/>
  <c r="Z47"/>
  <c r="AB47"/>
  <c r="X48"/>
  <c r="Z48"/>
  <c r="AB48"/>
  <c r="X49"/>
  <c r="Z49"/>
  <c r="AB49"/>
  <c r="X50"/>
  <c r="Z50"/>
  <c r="AB50"/>
  <c r="X51"/>
  <c r="Z51"/>
  <c r="AB51"/>
  <c r="AB7"/>
  <c r="X9" i="74"/>
  <c r="Z9"/>
  <c r="AB9"/>
  <c r="X11"/>
  <c r="Z11"/>
  <c r="AB11"/>
  <c r="X14"/>
  <c r="Z14"/>
  <c r="AB14"/>
  <c r="X15"/>
  <c r="Z15"/>
  <c r="AB15"/>
  <c r="X16"/>
  <c r="Z16"/>
  <c r="AB16"/>
  <c r="X17"/>
  <c r="Z17"/>
  <c r="AB17"/>
  <c r="X18"/>
  <c r="Z18"/>
  <c r="AB18"/>
  <c r="X20"/>
  <c r="Z20"/>
  <c r="AB20"/>
  <c r="X21"/>
  <c r="Z21"/>
  <c r="AB21"/>
  <c r="X23"/>
  <c r="Z23"/>
  <c r="AB23"/>
  <c r="X24"/>
  <c r="Z24"/>
  <c r="AB24"/>
  <c r="X25"/>
  <c r="Z25"/>
  <c r="AB25"/>
  <c r="X26"/>
  <c r="Z26"/>
  <c r="AB26"/>
  <c r="Z22"/>
  <c r="X22"/>
  <c r="AB22"/>
  <c r="X19"/>
  <c r="Z19"/>
  <c r="AB19"/>
  <c r="Z12"/>
  <c r="X12"/>
  <c r="AB12"/>
  <c r="Z13"/>
  <c r="X13"/>
  <c r="AB13"/>
  <c r="Z8"/>
  <c r="Z10"/>
  <c r="Z7"/>
  <c r="X8"/>
  <c r="X10"/>
  <c r="AB10"/>
  <c r="X7"/>
  <c r="AA8"/>
  <c r="AA7"/>
  <c r="AA23"/>
  <c r="AA19"/>
  <c r="AA15"/>
  <c r="AA11"/>
  <c r="AA26"/>
  <c r="AA22"/>
  <c r="AA18"/>
  <c r="AA14"/>
  <c r="AA10"/>
  <c r="AA25"/>
  <c r="AA21"/>
  <c r="AA17"/>
  <c r="AA13"/>
  <c r="AA9"/>
  <c r="AA24"/>
  <c r="AA20"/>
  <c r="AA16"/>
  <c r="AA12"/>
  <c r="Y24"/>
  <c r="Y8"/>
  <c r="AB8"/>
  <c r="Y26"/>
  <c r="Y25"/>
  <c r="AB7"/>
  <c r="Y7"/>
  <c r="Y23"/>
  <c r="Y19"/>
  <c r="Y15"/>
  <c r="Y11"/>
  <c r="Y22"/>
  <c r="Y18"/>
  <c r="Y14"/>
  <c r="Y10"/>
  <c r="Y21"/>
  <c r="Y17"/>
  <c r="Y13"/>
  <c r="Y9"/>
  <c r="Y20"/>
  <c r="Y16"/>
  <c r="Y12"/>
  <c r="AB8" i="47"/>
  <c r="Z34" i="69"/>
  <c r="Z32"/>
  <c r="Z33"/>
  <c r="Z35"/>
  <c r="X31"/>
  <c r="Z31"/>
  <c r="AB31"/>
  <c r="X32"/>
  <c r="AB32"/>
  <c r="X33"/>
  <c r="X34"/>
  <c r="X35"/>
  <c r="Z28"/>
  <c r="Z27"/>
  <c r="Z29"/>
  <c r="Z30"/>
  <c r="Z26"/>
  <c r="X30"/>
  <c r="X27"/>
  <c r="X28"/>
  <c r="AB28"/>
  <c r="X29"/>
  <c r="AB29"/>
  <c r="X26"/>
  <c r="Z25"/>
  <c r="Z24"/>
  <c r="X24"/>
  <c r="AB24"/>
  <c r="X25"/>
  <c r="AB25"/>
  <c r="Z23"/>
  <c r="Z22"/>
  <c r="Z19"/>
  <c r="Z20"/>
  <c r="Z21"/>
  <c r="Z18"/>
  <c r="X23"/>
  <c r="X21"/>
  <c r="X19"/>
  <c r="AB19"/>
  <c r="X20"/>
  <c r="X22"/>
  <c r="X18"/>
  <c r="Z17"/>
  <c r="Z15"/>
  <c r="Z13"/>
  <c r="Z14"/>
  <c r="Z16"/>
  <c r="Z12"/>
  <c r="X12"/>
  <c r="AB12"/>
  <c r="X17"/>
  <c r="AB17"/>
  <c r="X16"/>
  <c r="X13"/>
  <c r="AB13"/>
  <c r="X14"/>
  <c r="X15"/>
  <c r="Z11"/>
  <c r="Z8"/>
  <c r="Z9"/>
  <c r="Z10"/>
  <c r="X10"/>
  <c r="AB10"/>
  <c r="Z7"/>
  <c r="X8"/>
  <c r="X9"/>
  <c r="AB9"/>
  <c r="X11"/>
  <c r="X7"/>
  <c r="Z14" i="44"/>
  <c r="Z15"/>
  <c r="Z16"/>
  <c r="Z17"/>
  <c r="Z18"/>
  <c r="X18"/>
  <c r="AB18"/>
  <c r="Z13"/>
  <c r="X16"/>
  <c r="X14"/>
  <c r="AB14"/>
  <c r="X15"/>
  <c r="AB16"/>
  <c r="X17"/>
  <c r="AB17"/>
  <c r="X13"/>
  <c r="AB13"/>
  <c r="Z8"/>
  <c r="Z9"/>
  <c r="Z10"/>
  <c r="Z11"/>
  <c r="Z12"/>
  <c r="Z7"/>
  <c r="X11"/>
  <c r="X8"/>
  <c r="X9"/>
  <c r="X10"/>
  <c r="X12"/>
  <c r="X7"/>
  <c r="AB8" i="69"/>
  <c r="AB14"/>
  <c r="AB15"/>
  <c r="AB18"/>
  <c r="AB20"/>
  <c r="AB21"/>
  <c r="AB22"/>
  <c r="AB23"/>
  <c r="AB26"/>
  <c r="AB27"/>
  <c r="AB33"/>
  <c r="AB34"/>
  <c r="X37"/>
  <c r="Z37"/>
  <c r="AB37"/>
  <c r="AB7"/>
  <c r="Z38"/>
  <c r="Z36"/>
  <c r="X38"/>
  <c r="X36"/>
  <c r="AB36"/>
  <c r="AB8" i="44"/>
  <c r="AB9"/>
  <c r="AB12"/>
  <c r="AB15"/>
  <c r="X19"/>
  <c r="Z19"/>
  <c r="AB19"/>
  <c r="X21"/>
  <c r="Z21"/>
  <c r="AB21"/>
  <c r="AB7"/>
  <c r="Z20"/>
  <c r="X20"/>
  <c r="AB20"/>
  <c r="Q14" i="85"/>
  <c r="Z8"/>
  <c r="Q11"/>
  <c r="Q10"/>
  <c r="X22" i="61"/>
  <c r="Z22"/>
  <c r="AB22"/>
  <c r="X21"/>
  <c r="Z41"/>
  <c r="Z42"/>
  <c r="Z43"/>
  <c r="Z40"/>
  <c r="X42"/>
  <c r="X41"/>
  <c r="X43"/>
  <c r="AB43"/>
  <c r="X40"/>
  <c r="Z39"/>
  <c r="X39"/>
  <c r="AB39"/>
  <c r="Z37"/>
  <c r="Z38"/>
  <c r="Z36"/>
  <c r="X38"/>
  <c r="X37"/>
  <c r="X36"/>
  <c r="Z35"/>
  <c r="X35"/>
  <c r="X34"/>
  <c r="Z34"/>
  <c r="AB34"/>
  <c r="Z32"/>
  <c r="Z30"/>
  <c r="X30"/>
  <c r="AB30"/>
  <c r="Z31"/>
  <c r="Z33"/>
  <c r="Z29"/>
  <c r="X32"/>
  <c r="X31"/>
  <c r="X33"/>
  <c r="AB33"/>
  <c r="X29"/>
  <c r="Z28"/>
  <c r="Z27"/>
  <c r="Z25"/>
  <c r="Z26"/>
  <c r="Z24"/>
  <c r="X27"/>
  <c r="X25"/>
  <c r="X26"/>
  <c r="X28"/>
  <c r="X24"/>
  <c r="X23"/>
  <c r="Z20"/>
  <c r="Z21"/>
  <c r="Z23"/>
  <c r="AB21"/>
  <c r="AB23"/>
  <c r="X20"/>
  <c r="AB20"/>
  <c r="Z19"/>
  <c r="X19"/>
  <c r="Z18"/>
  <c r="X18"/>
  <c r="Z44"/>
  <c r="X44"/>
  <c r="Z17"/>
  <c r="X17"/>
  <c r="Z15"/>
  <c r="X15"/>
  <c r="AB15"/>
  <c r="Z16"/>
  <c r="X16"/>
  <c r="AB16"/>
  <c r="Z14"/>
  <c r="X14"/>
  <c r="AB14"/>
  <c r="Z13"/>
  <c r="X13"/>
  <c r="AB13"/>
  <c r="Z12"/>
  <c r="Z10"/>
  <c r="Z8"/>
  <c r="Z9"/>
  <c r="X9"/>
  <c r="AB9"/>
  <c r="Z11"/>
  <c r="Z7"/>
  <c r="X10"/>
  <c r="X8"/>
  <c r="X11"/>
  <c r="X12"/>
  <c r="AB12"/>
  <c r="X7"/>
  <c r="AB7"/>
  <c r="AB8"/>
  <c r="AB10"/>
  <c r="AB17"/>
  <c r="AB18"/>
  <c r="AB25"/>
  <c r="AB26"/>
  <c r="AB27"/>
  <c r="AB31"/>
  <c r="AB32"/>
  <c r="AB36"/>
  <c r="AB37"/>
  <c r="AB38"/>
  <c r="AB40"/>
  <c r="AB41"/>
  <c r="AB42"/>
  <c r="Z48"/>
  <c r="Z49"/>
  <c r="Z47"/>
  <c r="X48"/>
  <c r="AB48"/>
  <c r="X49"/>
  <c r="AB49"/>
  <c r="X47"/>
  <c r="Z46"/>
  <c r="X46"/>
  <c r="AB46"/>
  <c r="Z45"/>
  <c r="X45"/>
  <c r="AB45"/>
  <c r="R11" i="107"/>
  <c r="R10"/>
  <c r="P10"/>
  <c r="T10"/>
  <c r="P11"/>
  <c r="T11"/>
  <c r="R8"/>
  <c r="R9"/>
  <c r="R7"/>
  <c r="S7"/>
  <c r="P8"/>
  <c r="P9"/>
  <c r="P7"/>
  <c r="S8" i="88"/>
  <c r="Z22" i="39"/>
  <c r="Z21"/>
  <c r="Z8"/>
  <c r="X22"/>
  <c r="X21"/>
  <c r="AB22"/>
  <c r="X12"/>
  <c r="Z12"/>
  <c r="AB12"/>
  <c r="X15"/>
  <c r="Z15"/>
  <c r="AB15"/>
  <c r="X16"/>
  <c r="Z16"/>
  <c r="AB16"/>
  <c r="X17"/>
  <c r="Z17"/>
  <c r="AB17"/>
  <c r="X19"/>
  <c r="Z19"/>
  <c r="AB19"/>
  <c r="Z20"/>
  <c r="X20"/>
  <c r="AB20"/>
  <c r="Z18"/>
  <c r="X18"/>
  <c r="AB18"/>
  <c r="Z13"/>
  <c r="X13"/>
  <c r="AB13"/>
  <c r="Z14"/>
  <c r="X14"/>
  <c r="AB14"/>
  <c r="Z9"/>
  <c r="Z10"/>
  <c r="Z11"/>
  <c r="Z7"/>
  <c r="X8"/>
  <c r="AB8"/>
  <c r="X9"/>
  <c r="X10"/>
  <c r="AB10"/>
  <c r="X11"/>
  <c r="AB11"/>
  <c r="X7"/>
  <c r="Z8" i="62"/>
  <c r="AB8"/>
  <c r="Z13"/>
  <c r="AB13"/>
  <c r="Z14"/>
  <c r="AB14"/>
  <c r="Z21"/>
  <c r="AB21"/>
  <c r="Z28"/>
  <c r="AB28"/>
  <c r="Z29"/>
  <c r="AB29"/>
  <c r="Z33"/>
  <c r="AB33"/>
  <c r="Z34"/>
  <c r="AB34"/>
  <c r="Z32"/>
  <c r="Z18"/>
  <c r="Z17"/>
  <c r="AB17"/>
  <c r="Z31"/>
  <c r="Z30"/>
  <c r="AB30"/>
  <c r="Z26"/>
  <c r="Z24"/>
  <c r="Z25"/>
  <c r="Z27"/>
  <c r="Z23"/>
  <c r="AB26"/>
  <c r="AB25"/>
  <c r="AB23"/>
  <c r="Z20"/>
  <c r="Z19"/>
  <c r="Z22"/>
  <c r="AB20"/>
  <c r="AB22"/>
  <c r="Z16"/>
  <c r="Z15"/>
  <c r="Z12"/>
  <c r="AB12"/>
  <c r="AB16"/>
  <c r="AB15"/>
  <c r="Z10"/>
  <c r="Z9"/>
  <c r="Z7"/>
  <c r="AB10"/>
  <c r="AB9"/>
  <c r="X7"/>
  <c r="AB7"/>
  <c r="X12" i="77"/>
  <c r="Z12"/>
  <c r="AB12"/>
  <c r="Z15"/>
  <c r="Z14"/>
  <c r="X15"/>
  <c r="X14"/>
  <c r="AB14"/>
  <c r="Z13"/>
  <c r="X13"/>
  <c r="AB13"/>
  <c r="Z11"/>
  <c r="X11"/>
  <c r="AB11"/>
  <c r="Z10"/>
  <c r="Z8"/>
  <c r="Z9"/>
  <c r="Z7"/>
  <c r="X10"/>
  <c r="X8"/>
  <c r="AB8"/>
  <c r="X9"/>
  <c r="X7"/>
  <c r="Z7" i="103"/>
  <c r="AA7"/>
  <c r="X7"/>
  <c r="Y7"/>
  <c r="AB7"/>
  <c r="AC7"/>
  <c r="Z7" i="37"/>
  <c r="X26"/>
  <c r="Z26"/>
  <c r="AB26"/>
  <c r="X11"/>
  <c r="X9"/>
  <c r="Z8"/>
  <c r="Z9"/>
  <c r="AB9"/>
  <c r="Z12"/>
  <c r="Z11"/>
  <c r="AB11"/>
  <c r="Z10"/>
  <c r="Z25"/>
  <c r="Z24"/>
  <c r="Z23"/>
  <c r="Z22"/>
  <c r="X22"/>
  <c r="AB22"/>
  <c r="Z27"/>
  <c r="Z20"/>
  <c r="Z21"/>
  <c r="X21"/>
  <c r="AB21"/>
  <c r="Z19"/>
  <c r="X19"/>
  <c r="AB19"/>
  <c r="Z18"/>
  <c r="X25"/>
  <c r="AB25"/>
  <c r="X24"/>
  <c r="X23"/>
  <c r="AB23"/>
  <c r="X27"/>
  <c r="AB27"/>
  <c r="X20"/>
  <c r="X18"/>
  <c r="AB18"/>
  <c r="Z17"/>
  <c r="X17"/>
  <c r="AB17"/>
  <c r="Z16"/>
  <c r="Z15"/>
  <c r="X16"/>
  <c r="AB16"/>
  <c r="X15"/>
  <c r="Z14"/>
  <c r="X14"/>
  <c r="AB14"/>
  <c r="Z13"/>
  <c r="X13"/>
  <c r="X12"/>
  <c r="X10"/>
  <c r="X39" i="35"/>
  <c r="X27"/>
  <c r="X24"/>
  <c r="X20"/>
  <c r="X19"/>
  <c r="X18"/>
  <c r="Z18"/>
  <c r="Z19"/>
  <c r="Z20"/>
  <c r="Z21"/>
  <c r="Z17"/>
  <c r="X17"/>
  <c r="X21"/>
  <c r="X8" i="37"/>
  <c r="X7"/>
  <c r="AB7"/>
  <c r="C36" i="35"/>
  <c r="P25"/>
  <c r="Z64"/>
  <c r="Z65"/>
  <c r="X65"/>
  <c r="AB65"/>
  <c r="X64"/>
  <c r="Z63"/>
  <c r="X63"/>
  <c r="AB63"/>
  <c r="AB64"/>
  <c r="X54"/>
  <c r="Z54"/>
  <c r="AB54"/>
  <c r="X62"/>
  <c r="Z62"/>
  <c r="AB62"/>
  <c r="X7"/>
  <c r="Z7"/>
  <c r="AB7"/>
  <c r="Z61"/>
  <c r="Z59"/>
  <c r="X61"/>
  <c r="AB60"/>
  <c r="X59"/>
  <c r="AB59"/>
  <c r="Z57"/>
  <c r="X57"/>
  <c r="AB57"/>
  <c r="Z56"/>
  <c r="X56"/>
  <c r="AB56"/>
  <c r="Z58"/>
  <c r="Z55"/>
  <c r="X55"/>
  <c r="AB55"/>
  <c r="X58"/>
  <c r="Z53"/>
  <c r="Z52"/>
  <c r="X52"/>
  <c r="AB52"/>
  <c r="X53"/>
  <c r="AB53"/>
  <c r="Z51"/>
  <c r="X51"/>
  <c r="AB51"/>
  <c r="Z49"/>
  <c r="X49"/>
  <c r="AB49"/>
  <c r="Z48"/>
  <c r="X48"/>
  <c r="AB48"/>
  <c r="Z46"/>
  <c r="Z47"/>
  <c r="Z50"/>
  <c r="Z45"/>
  <c r="X46"/>
  <c r="AB46"/>
  <c r="X47"/>
  <c r="AB47"/>
  <c r="X50"/>
  <c r="AB50"/>
  <c r="X45"/>
  <c r="AB45"/>
  <c r="Z44"/>
  <c r="X44"/>
  <c r="AB44"/>
  <c r="Z41"/>
  <c r="Z40"/>
  <c r="X40"/>
  <c r="AB40"/>
  <c r="Z42"/>
  <c r="Z43"/>
  <c r="Z39"/>
  <c r="AB39"/>
  <c r="X41"/>
  <c r="AB41"/>
  <c r="X42"/>
  <c r="AB42"/>
  <c r="X43"/>
  <c r="AB43"/>
  <c r="Z38"/>
  <c r="Z36"/>
  <c r="Z34"/>
  <c r="Z35"/>
  <c r="Z37"/>
  <c r="Z33"/>
  <c r="X38"/>
  <c r="AB38"/>
  <c r="X37"/>
  <c r="AB37"/>
  <c r="X36"/>
  <c r="X34"/>
  <c r="AB34"/>
  <c r="X35"/>
  <c r="AB35"/>
  <c r="X33"/>
  <c r="AB33"/>
  <c r="Z30"/>
  <c r="Z29"/>
  <c r="Z31"/>
  <c r="Z32"/>
  <c r="X32"/>
  <c r="AB32"/>
  <c r="Z28"/>
  <c r="X31"/>
  <c r="X29"/>
  <c r="AB29"/>
  <c r="X30"/>
  <c r="AB30"/>
  <c r="X28"/>
  <c r="AB28"/>
  <c r="Z26"/>
  <c r="Z23"/>
  <c r="X23"/>
  <c r="AB23"/>
  <c r="Z24"/>
  <c r="AB24"/>
  <c r="Z25"/>
  <c r="X25"/>
  <c r="AB25"/>
  <c r="Z27"/>
  <c r="AB27"/>
  <c r="Z22"/>
  <c r="X26"/>
  <c r="AB26"/>
  <c r="X22"/>
  <c r="AB21"/>
  <c r="AB20"/>
  <c r="AB18"/>
  <c r="AB19"/>
  <c r="AB17"/>
  <c r="Z14"/>
  <c r="Z12"/>
  <c r="Z13"/>
  <c r="X13"/>
  <c r="AB13"/>
  <c r="Z15"/>
  <c r="Z16"/>
  <c r="X16"/>
  <c r="AB16"/>
  <c r="Z11"/>
  <c r="X11"/>
  <c r="AB11"/>
  <c r="X12"/>
  <c r="AB12"/>
  <c r="X14"/>
  <c r="AB14"/>
  <c r="X15"/>
  <c r="X10"/>
  <c r="Z10"/>
  <c r="Z9"/>
  <c r="Z8"/>
  <c r="X8"/>
  <c r="AB8"/>
  <c r="X9"/>
  <c r="AB9"/>
  <c r="AC8" i="74"/>
  <c r="AC12"/>
  <c r="AC16"/>
  <c r="AC20"/>
  <c r="AC24"/>
  <c r="AC9"/>
  <c r="AC13"/>
  <c r="AC17"/>
  <c r="AC21"/>
  <c r="AC25"/>
  <c r="AC10"/>
  <c r="AC14"/>
  <c r="AC18"/>
  <c r="AC22"/>
  <c r="AC26"/>
  <c r="AC7"/>
  <c r="AC11"/>
  <c r="AC15"/>
  <c r="AC19"/>
  <c r="AC23"/>
  <c r="AA32" i="69"/>
  <c r="AB30"/>
  <c r="AB35"/>
  <c r="Y13"/>
  <c r="AA16"/>
  <c r="Y29"/>
  <c r="Y10"/>
  <c r="AA20"/>
  <c r="Y17"/>
  <c r="AA28"/>
  <c r="AA12"/>
  <c r="AA24"/>
  <c r="AA8"/>
  <c r="AA9"/>
  <c r="AA36"/>
  <c r="AB16"/>
  <c r="Y25"/>
  <c r="Y9"/>
  <c r="Y37"/>
  <c r="Y21"/>
  <c r="Y33"/>
  <c r="AA7"/>
  <c r="AA35"/>
  <c r="AA31"/>
  <c r="AA27"/>
  <c r="AA23"/>
  <c r="AA19"/>
  <c r="AA15"/>
  <c r="AA11"/>
  <c r="AA38"/>
  <c r="AA34"/>
  <c r="AA30"/>
  <c r="AA26"/>
  <c r="AA22"/>
  <c r="AA18"/>
  <c r="AA14"/>
  <c r="AA10"/>
  <c r="AA37"/>
  <c r="AA33"/>
  <c r="AA29"/>
  <c r="AA25"/>
  <c r="AA21"/>
  <c r="AA17"/>
  <c r="AA13"/>
  <c r="Y36"/>
  <c r="Y32"/>
  <c r="Y28"/>
  <c r="Y24"/>
  <c r="Y20"/>
  <c r="Y16"/>
  <c r="Y12"/>
  <c r="Y8"/>
  <c r="AB11"/>
  <c r="Y7"/>
  <c r="Y35"/>
  <c r="Y31"/>
  <c r="Y27"/>
  <c r="Y23"/>
  <c r="Y19"/>
  <c r="Y15"/>
  <c r="Y11"/>
  <c r="Y38"/>
  <c r="Y34"/>
  <c r="Y30"/>
  <c r="Y26"/>
  <c r="Y22"/>
  <c r="Y18"/>
  <c r="Y14"/>
  <c r="AA9" i="44"/>
  <c r="AA12"/>
  <c r="AA8"/>
  <c r="AB10"/>
  <c r="Y16"/>
  <c r="Y9"/>
  <c r="AB38" i="69"/>
  <c r="AA20" i="44"/>
  <c r="AA16"/>
  <c r="AA19"/>
  <c r="Y12"/>
  <c r="Y8"/>
  <c r="Y20"/>
  <c r="AA15"/>
  <c r="AA11"/>
  <c r="AB11"/>
  <c r="AA7"/>
  <c r="AA18"/>
  <c r="AA14"/>
  <c r="AA10"/>
  <c r="AA21"/>
  <c r="AA17"/>
  <c r="AA13"/>
  <c r="AC20"/>
  <c r="AC12"/>
  <c r="AC8"/>
  <c r="Y19"/>
  <c r="Y15"/>
  <c r="Y11"/>
  <c r="AC16"/>
  <c r="Y7"/>
  <c r="Y18"/>
  <c r="Y14"/>
  <c r="Y10"/>
  <c r="AC9"/>
  <c r="Y21"/>
  <c r="Y17"/>
  <c r="Y13"/>
  <c r="AC19"/>
  <c r="AC15"/>
  <c r="AC11"/>
  <c r="AC7"/>
  <c r="AC18"/>
  <c r="AC14"/>
  <c r="AC10"/>
  <c r="AC21"/>
  <c r="AC17"/>
  <c r="AC13"/>
  <c r="AB24" i="61"/>
  <c r="AB47"/>
  <c r="AB44"/>
  <c r="Y10"/>
  <c r="AA8"/>
  <c r="AA34"/>
  <c r="Y47"/>
  <c r="AB35"/>
  <c r="Y43"/>
  <c r="AA46"/>
  <c r="AA7"/>
  <c r="AA42"/>
  <c r="AA49"/>
  <c r="AA38"/>
  <c r="AA48"/>
  <c r="AA47"/>
  <c r="AA43"/>
  <c r="AA39"/>
  <c r="AA35"/>
  <c r="AA31"/>
  <c r="AA27"/>
  <c r="AA23"/>
  <c r="AA19"/>
  <c r="AA15"/>
  <c r="AA11"/>
  <c r="AA30"/>
  <c r="AA26"/>
  <c r="AA22"/>
  <c r="AA18"/>
  <c r="AA14"/>
  <c r="AA10"/>
  <c r="AA45"/>
  <c r="AA41"/>
  <c r="AA37"/>
  <c r="AA33"/>
  <c r="AA29"/>
  <c r="AA25"/>
  <c r="AA21"/>
  <c r="AA17"/>
  <c r="AA13"/>
  <c r="AA9"/>
  <c r="AA44"/>
  <c r="AA40"/>
  <c r="AA36"/>
  <c r="AA32"/>
  <c r="AA28"/>
  <c r="AA24"/>
  <c r="AA20"/>
  <c r="AA16"/>
  <c r="AA12"/>
  <c r="Y49"/>
  <c r="Y45"/>
  <c r="Y41"/>
  <c r="Y37"/>
  <c r="Y33"/>
  <c r="Y29"/>
  <c r="Y25"/>
  <c r="Y21"/>
  <c r="Y17"/>
  <c r="Y13"/>
  <c r="Y9"/>
  <c r="Y48"/>
  <c r="Y44"/>
  <c r="Y40"/>
  <c r="Y36"/>
  <c r="Y32"/>
  <c r="Y28"/>
  <c r="Y24"/>
  <c r="Y20"/>
  <c r="Y16"/>
  <c r="Y12"/>
  <c r="Y8"/>
  <c r="Y39"/>
  <c r="Y35"/>
  <c r="Y31"/>
  <c r="Y27"/>
  <c r="Y23"/>
  <c r="Y19"/>
  <c r="Y15"/>
  <c r="Y11"/>
  <c r="Y7"/>
  <c r="Y46"/>
  <c r="Y42"/>
  <c r="Y38"/>
  <c r="Y34"/>
  <c r="Y30"/>
  <c r="Y26"/>
  <c r="Y22"/>
  <c r="Y18"/>
  <c r="Y14"/>
  <c r="AB29"/>
  <c r="AB28"/>
  <c r="AB19"/>
  <c r="AB11"/>
  <c r="T7" i="107"/>
  <c r="S8"/>
  <c r="T8"/>
  <c r="S11"/>
  <c r="S10"/>
  <c r="T9"/>
  <c r="S9"/>
  <c r="U8"/>
  <c r="Q9"/>
  <c r="U11"/>
  <c r="Q7"/>
  <c r="Q8"/>
  <c r="U10"/>
  <c r="Q11"/>
  <c r="U9"/>
  <c r="Q10"/>
  <c r="U7"/>
  <c r="S7" i="88"/>
  <c r="U7"/>
  <c r="U8"/>
  <c r="AB21" i="39"/>
  <c r="AA19"/>
  <c r="AA15"/>
  <c r="AA11"/>
  <c r="AA22"/>
  <c r="AA18"/>
  <c r="AA14"/>
  <c r="AA10"/>
  <c r="AA21"/>
  <c r="AA17"/>
  <c r="AA13"/>
  <c r="AA9"/>
  <c r="AA20"/>
  <c r="AA16"/>
  <c r="AA12"/>
  <c r="AB9"/>
  <c r="AA7"/>
  <c r="Y12"/>
  <c r="Y19"/>
  <c r="Y15"/>
  <c r="Y11"/>
  <c r="Y22"/>
  <c r="Y18"/>
  <c r="Y14"/>
  <c r="Y8"/>
  <c r="Y7"/>
  <c r="Y21"/>
  <c r="Y17"/>
  <c r="Y13"/>
  <c r="AB7"/>
  <c r="Y20"/>
  <c r="Y16"/>
  <c r="Y10"/>
  <c r="Y9"/>
  <c r="AB31" i="62"/>
  <c r="AB27"/>
  <c r="AB24"/>
  <c r="AA7"/>
  <c r="AA31"/>
  <c r="AA27"/>
  <c r="AA23"/>
  <c r="AA19"/>
  <c r="AA15"/>
  <c r="AA10"/>
  <c r="AA34"/>
  <c r="AA30"/>
  <c r="AA26"/>
  <c r="AA22"/>
  <c r="AA18"/>
  <c r="AA14"/>
  <c r="AA9"/>
  <c r="AA33"/>
  <c r="AA29"/>
  <c r="AA25"/>
  <c r="AA21"/>
  <c r="AA17"/>
  <c r="AA13"/>
  <c r="AA8"/>
  <c r="AA32"/>
  <c r="AA28"/>
  <c r="AA24"/>
  <c r="AA20"/>
  <c r="AA16"/>
  <c r="AA12"/>
  <c r="AB19"/>
  <c r="AB18"/>
  <c r="AB32"/>
  <c r="AB15" i="77"/>
  <c r="AA8"/>
  <c r="AB10"/>
  <c r="AA14"/>
  <c r="Y9"/>
  <c r="AB7"/>
  <c r="Y15"/>
  <c r="Y11"/>
  <c r="Y8"/>
  <c r="AA13"/>
  <c r="Y12"/>
  <c r="AA10"/>
  <c r="Y14"/>
  <c r="Y10"/>
  <c r="AA7"/>
  <c r="AA12"/>
  <c r="AA9"/>
  <c r="Y7"/>
  <c r="Y13"/>
  <c r="AA15"/>
  <c r="AA11"/>
  <c r="AB9"/>
  <c r="AB13" i="37"/>
  <c r="AB15"/>
  <c r="AA27"/>
  <c r="AB20"/>
  <c r="AB12"/>
  <c r="AA10"/>
  <c r="AA25"/>
  <c r="AA21"/>
  <c r="AA17"/>
  <c r="AA13"/>
  <c r="AA9"/>
  <c r="AB8"/>
  <c r="AA24"/>
  <c r="AA20"/>
  <c r="AA16"/>
  <c r="AA12"/>
  <c r="AA8"/>
  <c r="AA23"/>
  <c r="AA19"/>
  <c r="AA15"/>
  <c r="AA11"/>
  <c r="AA7"/>
  <c r="AA26"/>
  <c r="AA22"/>
  <c r="AA18"/>
  <c r="AA14"/>
  <c r="AB10"/>
  <c r="Y7"/>
  <c r="Y24"/>
  <c r="Y20"/>
  <c r="Y16"/>
  <c r="Y12"/>
  <c r="Y8"/>
  <c r="Y27"/>
  <c r="Y23"/>
  <c r="Y19"/>
  <c r="Y15"/>
  <c r="Y11"/>
  <c r="Y26"/>
  <c r="Y22"/>
  <c r="Y18"/>
  <c r="Y14"/>
  <c r="Y10"/>
  <c r="Y25"/>
  <c r="Y21"/>
  <c r="Y17"/>
  <c r="Y13"/>
  <c r="Y9"/>
  <c r="AB24"/>
  <c r="AC9"/>
  <c r="AB61" i="35"/>
  <c r="AB58"/>
  <c r="AB31"/>
  <c r="AB36"/>
  <c r="AB22"/>
  <c r="AB15"/>
  <c r="Y64"/>
  <c r="AA7"/>
  <c r="Y7"/>
  <c r="Y61"/>
  <c r="Y60"/>
  <c r="Y65"/>
  <c r="Y56"/>
  <c r="AA65"/>
  <c r="AA61"/>
  <c r="AA57"/>
  <c r="AA53"/>
  <c r="AA49"/>
  <c r="AA45"/>
  <c r="AA41"/>
  <c r="AA37"/>
  <c r="AA33"/>
  <c r="AA29"/>
  <c r="AA25"/>
  <c r="AA21"/>
  <c r="AA17"/>
  <c r="AA13"/>
  <c r="AA9"/>
  <c r="AA64"/>
  <c r="AA60"/>
  <c r="AA56"/>
  <c r="AA52"/>
  <c r="AA48"/>
  <c r="AA44"/>
  <c r="AA40"/>
  <c r="AA36"/>
  <c r="AA32"/>
  <c r="AA28"/>
  <c r="AA24"/>
  <c r="AA20"/>
  <c r="AA16"/>
  <c r="AA12"/>
  <c r="AA8"/>
  <c r="AA63"/>
  <c r="AA59"/>
  <c r="AA55"/>
  <c r="AA51"/>
  <c r="AA47"/>
  <c r="AA43"/>
  <c r="AA39"/>
  <c r="AA35"/>
  <c r="AA31"/>
  <c r="AA27"/>
  <c r="AA23"/>
  <c r="AA19"/>
  <c r="AA15"/>
  <c r="AA11"/>
  <c r="AB10"/>
  <c r="AC8"/>
  <c r="AA62"/>
  <c r="AA58"/>
  <c r="AA54"/>
  <c r="AA50"/>
  <c r="AA46"/>
  <c r="AA42"/>
  <c r="AA38"/>
  <c r="AA34"/>
  <c r="AA30"/>
  <c r="AA26"/>
  <c r="AA22"/>
  <c r="AA18"/>
  <c r="AA14"/>
  <c r="AA10"/>
  <c r="Y59"/>
  <c r="Y55"/>
  <c r="Y51"/>
  <c r="Y47"/>
  <c r="Y43"/>
  <c r="Y39"/>
  <c r="Y35"/>
  <c r="Y31"/>
  <c r="Y27"/>
  <c r="Y23"/>
  <c r="Y19"/>
  <c r="Y15"/>
  <c r="Y11"/>
  <c r="AC63"/>
  <c r="AC47"/>
  <c r="AC31"/>
  <c r="AC27"/>
  <c r="AC15"/>
  <c r="AC11"/>
  <c r="Y63"/>
  <c r="Y62"/>
  <c r="Y58"/>
  <c r="Y54"/>
  <c r="Y50"/>
  <c r="Y46"/>
  <c r="Y42"/>
  <c r="Y38"/>
  <c r="Y34"/>
  <c r="Y30"/>
  <c r="Y26"/>
  <c r="Y22"/>
  <c r="Y18"/>
  <c r="Y14"/>
  <c r="Y10"/>
  <c r="AC7"/>
  <c r="AC62"/>
  <c r="AC54"/>
  <c r="AC50"/>
  <c r="AC46"/>
  <c r="AC38"/>
  <c r="AC34"/>
  <c r="AC30"/>
  <c r="AC22"/>
  <c r="AC18"/>
  <c r="AC14"/>
  <c r="AC10"/>
  <c r="Y57"/>
  <c r="Y53"/>
  <c r="Y49"/>
  <c r="Y45"/>
  <c r="Y41"/>
  <c r="Y37"/>
  <c r="Y33"/>
  <c r="Y29"/>
  <c r="Y25"/>
  <c r="Y21"/>
  <c r="Y17"/>
  <c r="Y13"/>
  <c r="Y9"/>
  <c r="AC65"/>
  <c r="AC61"/>
  <c r="AC57"/>
  <c r="AC53"/>
  <c r="AC49"/>
  <c r="AC45"/>
  <c r="AC41"/>
  <c r="AC37"/>
  <c r="AC33"/>
  <c r="AC29"/>
  <c r="AC25"/>
  <c r="AC21"/>
  <c r="AC17"/>
  <c r="AC13"/>
  <c r="AC9"/>
  <c r="Y52"/>
  <c r="Y48"/>
  <c r="Y44"/>
  <c r="Y40"/>
  <c r="Y36"/>
  <c r="Y32"/>
  <c r="Y28"/>
  <c r="Y24"/>
  <c r="Y20"/>
  <c r="Y16"/>
  <c r="Y12"/>
  <c r="Y8"/>
  <c r="AC64"/>
  <c r="AC60"/>
  <c r="AC56"/>
  <c r="AC52"/>
  <c r="AC48"/>
  <c r="AC44"/>
  <c r="AC40"/>
  <c r="AC36"/>
  <c r="AC32"/>
  <c r="AC28"/>
  <c r="AC24"/>
  <c r="AC20"/>
  <c r="AC16"/>
  <c r="AC12"/>
  <c r="X7" i="68"/>
  <c r="Z7"/>
  <c r="AB7"/>
  <c r="X12"/>
  <c r="Z12"/>
  <c r="AB12"/>
  <c r="X8"/>
  <c r="Z8"/>
  <c r="AB8"/>
  <c r="X9"/>
  <c r="Z9"/>
  <c r="AB9"/>
  <c r="X10"/>
  <c r="Z10"/>
  <c r="AB10"/>
  <c r="X11"/>
  <c r="Z11"/>
  <c r="AB11"/>
  <c r="X13"/>
  <c r="Z13"/>
  <c r="AB13"/>
  <c r="X14"/>
  <c r="Z14"/>
  <c r="AB14"/>
  <c r="AA8"/>
  <c r="AA9"/>
  <c r="AA10"/>
  <c r="AA11"/>
  <c r="AA12"/>
  <c r="AA13"/>
  <c r="AA14"/>
  <c r="Y8"/>
  <c r="Y9"/>
  <c r="Y10"/>
  <c r="Y11"/>
  <c r="Y12"/>
  <c r="Y13"/>
  <c r="Y14"/>
  <c r="G11" i="102"/>
  <c r="G12"/>
  <c r="G13"/>
  <c r="G8"/>
  <c r="G9"/>
  <c r="H11"/>
  <c r="H12"/>
  <c r="H13"/>
  <c r="H14"/>
  <c r="H8"/>
  <c r="H9"/>
  <c r="H10"/>
  <c r="H15"/>
  <c r="I11"/>
  <c r="I14"/>
  <c r="I8"/>
  <c r="I9"/>
  <c r="I10"/>
  <c r="I12"/>
  <c r="I13"/>
  <c r="I15"/>
  <c r="J11"/>
  <c r="J12"/>
  <c r="J13"/>
  <c r="J8"/>
  <c r="J9"/>
  <c r="J14"/>
  <c r="J10"/>
  <c r="J15"/>
  <c r="X20" i="34"/>
  <c r="Z20"/>
  <c r="AB20"/>
  <c r="X21"/>
  <c r="Z21"/>
  <c r="AB21"/>
  <c r="X22"/>
  <c r="Z22"/>
  <c r="AB22"/>
  <c r="X23"/>
  <c r="Z23"/>
  <c r="AB23"/>
  <c r="X24"/>
  <c r="Z24"/>
  <c r="AB24"/>
  <c r="X25"/>
  <c r="Z25"/>
  <c r="AB25"/>
  <c r="X26"/>
  <c r="Z26"/>
  <c r="AB26"/>
  <c r="X27"/>
  <c r="Z27"/>
  <c r="AB27"/>
  <c r="X28"/>
  <c r="Z28"/>
  <c r="AB28"/>
  <c r="X29"/>
  <c r="Z29"/>
  <c r="AB29"/>
  <c r="X30"/>
  <c r="Z30"/>
  <c r="AB30"/>
  <c r="X31"/>
  <c r="Z31"/>
  <c r="AB31"/>
  <c r="Z12"/>
  <c r="Z13"/>
  <c r="Z14"/>
  <c r="Z15"/>
  <c r="Z16"/>
  <c r="Z17"/>
  <c r="Z18"/>
  <c r="Z19"/>
  <c r="Z7"/>
  <c r="X12"/>
  <c r="X13"/>
  <c r="X14"/>
  <c r="X15"/>
  <c r="X16"/>
  <c r="X17"/>
  <c r="X18"/>
  <c r="X19"/>
  <c r="X7"/>
  <c r="G19" i="12"/>
  <c r="G20"/>
  <c r="G25"/>
  <c r="G21"/>
  <c r="G22"/>
  <c r="G23"/>
  <c r="G24"/>
  <c r="G26"/>
  <c r="H19"/>
  <c r="H20"/>
  <c r="H25"/>
  <c r="H21"/>
  <c r="H22"/>
  <c r="H23"/>
  <c r="H24"/>
  <c r="H26"/>
  <c r="O25"/>
  <c r="F25"/>
  <c r="R14"/>
  <c r="R8"/>
  <c r="R9"/>
  <c r="R10"/>
  <c r="R11"/>
  <c r="R12"/>
  <c r="R13"/>
  <c r="R16"/>
  <c r="S14"/>
  <c r="S8"/>
  <c r="S9"/>
  <c r="S10"/>
  <c r="S11"/>
  <c r="S12"/>
  <c r="S13"/>
  <c r="S16"/>
  <c r="O14"/>
  <c r="AB25"/>
  <c r="I25"/>
  <c r="I19"/>
  <c r="I20"/>
  <c r="I21"/>
  <c r="I22"/>
  <c r="I23"/>
  <c r="I24"/>
  <c r="I26"/>
  <c r="J25"/>
  <c r="J19"/>
  <c r="J20"/>
  <c r="J21"/>
  <c r="J22"/>
  <c r="J23"/>
  <c r="J24"/>
  <c r="J26"/>
  <c r="P25"/>
  <c r="Q25"/>
  <c r="Z10"/>
  <c r="T14"/>
  <c r="T8"/>
  <c r="T9"/>
  <c r="T10"/>
  <c r="T11"/>
  <c r="T12"/>
  <c r="T13"/>
  <c r="T16"/>
  <c r="U14"/>
  <c r="U8"/>
  <c r="U9"/>
  <c r="U10"/>
  <c r="U11"/>
  <c r="U12"/>
  <c r="U13"/>
  <c r="U16"/>
  <c r="P14"/>
  <c r="Q14"/>
  <c r="Z8"/>
  <c r="G14"/>
  <c r="G8"/>
  <c r="G9"/>
  <c r="G10"/>
  <c r="G11"/>
  <c r="G12"/>
  <c r="G13"/>
  <c r="G16"/>
  <c r="H14"/>
  <c r="H8"/>
  <c r="H9"/>
  <c r="H10"/>
  <c r="H11"/>
  <c r="H12"/>
  <c r="H13"/>
  <c r="H16"/>
  <c r="D14"/>
  <c r="I14"/>
  <c r="I8"/>
  <c r="I9"/>
  <c r="I10"/>
  <c r="I11"/>
  <c r="I12"/>
  <c r="I13"/>
  <c r="I16"/>
  <c r="J14"/>
  <c r="J8"/>
  <c r="J9"/>
  <c r="J10"/>
  <c r="J11"/>
  <c r="J12"/>
  <c r="J13"/>
  <c r="J16"/>
  <c r="E14"/>
  <c r="F14"/>
  <c r="Z7"/>
  <c r="AC14"/>
  <c r="AC8"/>
  <c r="AC16"/>
  <c r="AD10"/>
  <c r="AD11"/>
  <c r="AD12"/>
  <c r="AD13"/>
  <c r="AD14"/>
  <c r="AD8"/>
  <c r="AD9"/>
  <c r="AD16"/>
  <c r="AE14"/>
  <c r="AE8"/>
  <c r="AE16"/>
  <c r="AF10"/>
  <c r="AF11"/>
  <c r="AF12"/>
  <c r="AF13"/>
  <c r="AF14"/>
  <c r="AF8"/>
  <c r="AF9"/>
  <c r="AF16"/>
  <c r="AA8"/>
  <c r="AA9"/>
  <c r="AA10"/>
  <c r="AA11"/>
  <c r="AA7"/>
  <c r="C14" i="34"/>
  <c r="D14"/>
  <c r="E14"/>
  <c r="O7"/>
  <c r="I14"/>
  <c r="J14"/>
  <c r="K14"/>
  <c r="O8"/>
  <c r="AB12"/>
  <c r="AB13"/>
  <c r="AB14"/>
  <c r="AB15"/>
  <c r="AB7"/>
  <c r="X8"/>
  <c r="Z8"/>
  <c r="AB8"/>
  <c r="X9"/>
  <c r="Z9"/>
  <c r="AB9"/>
  <c r="X10"/>
  <c r="Z10"/>
  <c r="AB10"/>
  <c r="X11"/>
  <c r="Z11"/>
  <c r="AB11"/>
  <c r="AB16"/>
  <c r="AB17"/>
  <c r="AB18"/>
  <c r="AB19"/>
  <c r="X15" i="2"/>
  <c r="Z15"/>
  <c r="AB15"/>
  <c r="X16"/>
  <c r="Z16"/>
  <c r="AB16"/>
  <c r="X28"/>
  <c r="Z28"/>
  <c r="AB28"/>
  <c r="X29"/>
  <c r="Z29"/>
  <c r="AB29"/>
  <c r="X30"/>
  <c r="Z30"/>
  <c r="AB30"/>
  <c r="X31"/>
  <c r="Z31"/>
  <c r="AB31"/>
  <c r="X19"/>
  <c r="X20"/>
  <c r="X21"/>
  <c r="X22"/>
  <c r="X23"/>
  <c r="X24"/>
  <c r="X25"/>
  <c r="X26"/>
  <c r="X27"/>
  <c r="X7"/>
  <c r="Z8"/>
  <c r="Z9"/>
  <c r="Z10"/>
  <c r="Z11"/>
  <c r="Z12"/>
  <c r="Z13"/>
  <c r="Z14"/>
  <c r="Z17"/>
  <c r="Z18"/>
  <c r="Z19"/>
  <c r="Z20"/>
  <c r="Z21"/>
  <c r="Z22"/>
  <c r="Z23"/>
  <c r="Z24"/>
  <c r="Z25"/>
  <c r="Z26"/>
  <c r="Z27"/>
  <c r="Z7"/>
  <c r="AA7"/>
  <c r="G8" i="100"/>
  <c r="G9"/>
  <c r="G11"/>
  <c r="G12"/>
  <c r="G13"/>
  <c r="G14"/>
  <c r="G10"/>
  <c r="G15"/>
  <c r="H8"/>
  <c r="H9"/>
  <c r="H11"/>
  <c r="H12"/>
  <c r="H13"/>
  <c r="H14"/>
  <c r="H10"/>
  <c r="H15"/>
  <c r="D14"/>
  <c r="I8"/>
  <c r="I9"/>
  <c r="I11"/>
  <c r="I12"/>
  <c r="I13"/>
  <c r="I14"/>
  <c r="I10"/>
  <c r="I15"/>
  <c r="J8"/>
  <c r="J9"/>
  <c r="J11"/>
  <c r="J12"/>
  <c r="J13"/>
  <c r="J14"/>
  <c r="J10"/>
  <c r="J15"/>
  <c r="E14"/>
  <c r="F14"/>
  <c r="Z7"/>
  <c r="T8"/>
  <c r="T9"/>
  <c r="T10"/>
  <c r="T11"/>
  <c r="T12"/>
  <c r="T13"/>
  <c r="T14"/>
  <c r="T15"/>
  <c r="U8"/>
  <c r="U9"/>
  <c r="U10"/>
  <c r="U11"/>
  <c r="U12"/>
  <c r="U13"/>
  <c r="U14"/>
  <c r="U15"/>
  <c r="P14"/>
  <c r="Q14"/>
  <c r="Z8"/>
  <c r="AA8"/>
  <c r="D14" i="2"/>
  <c r="AB7"/>
  <c r="X8"/>
  <c r="AB8"/>
  <c r="X9"/>
  <c r="AB9"/>
  <c r="X10"/>
  <c r="AB10"/>
  <c r="X11"/>
  <c r="AB11"/>
  <c r="X12"/>
  <c r="AB12"/>
  <c r="X13"/>
  <c r="AB13"/>
  <c r="X14"/>
  <c r="AB14"/>
  <c r="X17"/>
  <c r="AB17"/>
  <c r="X18"/>
  <c r="AB18"/>
  <c r="AB19"/>
  <c r="AB20"/>
  <c r="AB21"/>
  <c r="AB22"/>
  <c r="AB23"/>
  <c r="AB24"/>
  <c r="AB25"/>
  <c r="AB26"/>
  <c r="AB27"/>
  <c r="O14"/>
  <c r="P14"/>
  <c r="Q14"/>
  <c r="O20"/>
  <c r="I14"/>
  <c r="J14"/>
  <c r="K14"/>
  <c r="O19"/>
  <c r="C14"/>
  <c r="E14"/>
  <c r="O18"/>
  <c r="P19"/>
  <c r="P20"/>
  <c r="I25" i="62"/>
  <c r="J25"/>
  <c r="K24"/>
  <c r="K23"/>
  <c r="E19" i="2"/>
  <c r="Q13"/>
  <c r="K13"/>
  <c r="Q12"/>
  <c r="K12"/>
  <c r="Q11"/>
  <c r="K11"/>
  <c r="Q10"/>
  <c r="K10"/>
  <c r="Q9"/>
  <c r="K9"/>
  <c r="Q8"/>
  <c r="K8"/>
  <c r="K31" i="61"/>
  <c r="E35" i="45"/>
  <c r="Q24"/>
  <c r="K101" i="60"/>
  <c r="E101"/>
  <c r="AF14" i="106"/>
  <c r="AF15"/>
  <c r="AE14"/>
  <c r="AE15"/>
  <c r="AD14"/>
  <c r="AD15"/>
  <c r="AC14"/>
  <c r="AC15"/>
  <c r="U14"/>
  <c r="U15"/>
  <c r="T14"/>
  <c r="T15"/>
  <c r="S14"/>
  <c r="S15"/>
  <c r="R14"/>
  <c r="R15"/>
  <c r="J14"/>
  <c r="I14"/>
  <c r="H14"/>
  <c r="G14"/>
  <c r="AF13"/>
  <c r="AE13"/>
  <c r="AD13"/>
  <c r="AC13"/>
  <c r="U13"/>
  <c r="T13"/>
  <c r="S13"/>
  <c r="R13"/>
  <c r="J13"/>
  <c r="I13"/>
  <c r="H13"/>
  <c r="G13"/>
  <c r="AF12"/>
  <c r="AE12"/>
  <c r="AD12"/>
  <c r="AC12"/>
  <c r="U12"/>
  <c r="T12"/>
  <c r="S12"/>
  <c r="R12"/>
  <c r="J12"/>
  <c r="I12"/>
  <c r="H12"/>
  <c r="G12"/>
  <c r="AF11"/>
  <c r="AE11"/>
  <c r="AD11"/>
  <c r="AC11"/>
  <c r="U11"/>
  <c r="T11"/>
  <c r="S11"/>
  <c r="R11"/>
  <c r="J11"/>
  <c r="I11"/>
  <c r="H11"/>
  <c r="G11"/>
  <c r="AF10"/>
  <c r="AE10"/>
  <c r="AD10"/>
  <c r="AC10"/>
  <c r="U10"/>
  <c r="T10"/>
  <c r="S10"/>
  <c r="R10"/>
  <c r="J10"/>
  <c r="I10"/>
  <c r="H10"/>
  <c r="G10"/>
  <c r="AF9"/>
  <c r="AE9"/>
  <c r="AD9"/>
  <c r="AC9"/>
  <c r="U9"/>
  <c r="T9"/>
  <c r="S9"/>
  <c r="R9"/>
  <c r="J9"/>
  <c r="I9"/>
  <c r="H9"/>
  <c r="G9"/>
  <c r="AF8"/>
  <c r="AE8"/>
  <c r="AD8"/>
  <c r="AC8"/>
  <c r="U8"/>
  <c r="T8"/>
  <c r="S8"/>
  <c r="R8"/>
  <c r="J8"/>
  <c r="I8"/>
  <c r="H8"/>
  <c r="G8"/>
  <c r="Q13" i="65"/>
  <c r="Q14" i="43"/>
  <c r="Z8"/>
  <c r="E57" i="63"/>
  <c r="E56"/>
  <c r="E55"/>
  <c r="E54"/>
  <c r="E53"/>
  <c r="E52"/>
  <c r="E24" i="51"/>
  <c r="E23"/>
  <c r="D25" i="62"/>
  <c r="C25"/>
  <c r="E24"/>
  <c r="D36" i="61"/>
  <c r="C36"/>
  <c r="O25"/>
  <c r="P25"/>
  <c r="E35"/>
  <c r="Q24"/>
  <c r="E34"/>
  <c r="Q23"/>
  <c r="E57" i="59"/>
  <c r="Q46"/>
  <c r="Q45"/>
  <c r="K13" i="34"/>
  <c r="K12"/>
  <c r="K11"/>
  <c r="K10"/>
  <c r="K9"/>
  <c r="K8"/>
  <c r="Q9" i="77"/>
  <c r="Q8"/>
  <c r="E31" i="69"/>
  <c r="E30"/>
  <c r="E30" i="51"/>
  <c r="E45" i="48"/>
  <c r="Q79" i="60"/>
  <c r="Q78"/>
  <c r="Q77"/>
  <c r="Q76"/>
  <c r="Q75"/>
  <c r="Q74"/>
  <c r="O14" i="37"/>
  <c r="P14"/>
  <c r="Q13"/>
  <c r="K41" i="61"/>
  <c r="AF14" i="105"/>
  <c r="AE14"/>
  <c r="AD14"/>
  <c r="AC14"/>
  <c r="AF13"/>
  <c r="AE13"/>
  <c r="AD13"/>
  <c r="AC13"/>
  <c r="F13"/>
  <c r="AF12"/>
  <c r="AE12"/>
  <c r="AD12"/>
  <c r="AC12"/>
  <c r="F12"/>
  <c r="AF11"/>
  <c r="AE11"/>
  <c r="AD11"/>
  <c r="AC11"/>
  <c r="F11"/>
  <c r="AF10"/>
  <c r="AE10"/>
  <c r="AD10"/>
  <c r="AC10"/>
  <c r="F10"/>
  <c r="AF9"/>
  <c r="AE9"/>
  <c r="AD9"/>
  <c r="AC9"/>
  <c r="Q9"/>
  <c r="F9"/>
  <c r="AF8"/>
  <c r="AE8"/>
  <c r="AD8"/>
  <c r="AC8"/>
  <c r="Q8"/>
  <c r="F8"/>
  <c r="U14" i="104"/>
  <c r="U8"/>
  <c r="U9"/>
  <c r="U10"/>
  <c r="U11"/>
  <c r="U12"/>
  <c r="U13"/>
  <c r="U15"/>
  <c r="T14"/>
  <c r="T8"/>
  <c r="T9"/>
  <c r="T10"/>
  <c r="T11"/>
  <c r="T12"/>
  <c r="T13"/>
  <c r="T15"/>
  <c r="S14"/>
  <c r="S8"/>
  <c r="S9"/>
  <c r="S10"/>
  <c r="S11"/>
  <c r="S12"/>
  <c r="S13"/>
  <c r="S15"/>
  <c r="R14"/>
  <c r="R8"/>
  <c r="R9"/>
  <c r="R10"/>
  <c r="R11"/>
  <c r="R12"/>
  <c r="R13"/>
  <c r="R15"/>
  <c r="AF14"/>
  <c r="AE14"/>
  <c r="AD14"/>
  <c r="AC14"/>
  <c r="AF13"/>
  <c r="AE13"/>
  <c r="AD13"/>
  <c r="AC13"/>
  <c r="F13"/>
  <c r="AF12"/>
  <c r="AE12"/>
  <c r="AD12"/>
  <c r="AC12"/>
  <c r="F12"/>
  <c r="AF11"/>
  <c r="AE11"/>
  <c r="AD11"/>
  <c r="AC11"/>
  <c r="F11"/>
  <c r="AF10"/>
  <c r="AE10"/>
  <c r="AD10"/>
  <c r="AC10"/>
  <c r="F10"/>
  <c r="AF9"/>
  <c r="AE9"/>
  <c r="AD9"/>
  <c r="AC9"/>
  <c r="F9"/>
  <c r="AF8"/>
  <c r="AE8"/>
  <c r="AD8"/>
  <c r="AC8"/>
  <c r="F8"/>
  <c r="K79" i="60"/>
  <c r="K78"/>
  <c r="K77"/>
  <c r="K76"/>
  <c r="K75"/>
  <c r="K74"/>
  <c r="E8" i="103"/>
  <c r="O14" i="62"/>
  <c r="P14"/>
  <c r="Q13"/>
  <c r="Q12"/>
  <c r="Q11"/>
  <c r="Q10"/>
  <c r="Q9"/>
  <c r="G14" i="76"/>
  <c r="G8"/>
  <c r="G9"/>
  <c r="G10"/>
  <c r="G11"/>
  <c r="G12"/>
  <c r="G13"/>
  <c r="H14"/>
  <c r="H8"/>
  <c r="H9"/>
  <c r="H10"/>
  <c r="H11"/>
  <c r="H12"/>
  <c r="H13"/>
  <c r="I14"/>
  <c r="I8"/>
  <c r="I9"/>
  <c r="I10"/>
  <c r="I11"/>
  <c r="I12"/>
  <c r="I13"/>
  <c r="J14"/>
  <c r="J8"/>
  <c r="J9"/>
  <c r="J10"/>
  <c r="J11"/>
  <c r="J12"/>
  <c r="J13"/>
  <c r="F13"/>
  <c r="F10"/>
  <c r="F9"/>
  <c r="F8"/>
  <c r="E79" i="60"/>
  <c r="Q68"/>
  <c r="K68"/>
  <c r="K67"/>
  <c r="K66"/>
  <c r="K65"/>
  <c r="K64"/>
  <c r="K63"/>
  <c r="E68"/>
  <c r="K63" i="63"/>
  <c r="E41" i="61"/>
  <c r="E65" i="59"/>
  <c r="E64"/>
  <c r="E63"/>
  <c r="Q23" i="12"/>
  <c r="Q21"/>
  <c r="Q11"/>
  <c r="C14" i="77"/>
  <c r="D14"/>
  <c r="E11"/>
  <c r="J23" i="102"/>
  <c r="J24"/>
  <c r="I23"/>
  <c r="I24"/>
  <c r="H23"/>
  <c r="H24"/>
  <c r="G23"/>
  <c r="G24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AF14"/>
  <c r="AF15"/>
  <c r="AE14"/>
  <c r="AE15"/>
  <c r="AD14"/>
  <c r="AD15"/>
  <c r="AC14"/>
  <c r="AC15"/>
  <c r="U14"/>
  <c r="U8"/>
  <c r="U9"/>
  <c r="U10"/>
  <c r="U11"/>
  <c r="U12"/>
  <c r="U13"/>
  <c r="T14"/>
  <c r="T8"/>
  <c r="T9"/>
  <c r="T10"/>
  <c r="T11"/>
  <c r="T12"/>
  <c r="T13"/>
  <c r="S14"/>
  <c r="S8"/>
  <c r="S9"/>
  <c r="S10"/>
  <c r="S11"/>
  <c r="S12"/>
  <c r="S13"/>
  <c r="R14"/>
  <c r="R8"/>
  <c r="R9"/>
  <c r="R10"/>
  <c r="R11"/>
  <c r="R12"/>
  <c r="R13"/>
  <c r="G14"/>
  <c r="G10"/>
  <c r="AF13"/>
  <c r="AE13"/>
  <c r="AD13"/>
  <c r="AC13"/>
  <c r="AF12"/>
  <c r="AE12"/>
  <c r="AD12"/>
  <c r="AC12"/>
  <c r="AF11"/>
  <c r="AE11"/>
  <c r="AD11"/>
  <c r="AC11"/>
  <c r="AF10"/>
  <c r="AE10"/>
  <c r="AD10"/>
  <c r="AC10"/>
  <c r="F10"/>
  <c r="AF9"/>
  <c r="AE9"/>
  <c r="AD9"/>
  <c r="AC9"/>
  <c r="AF8"/>
  <c r="AE8"/>
  <c r="AD8"/>
  <c r="AC8"/>
  <c r="K19" i="64"/>
  <c r="K74" i="3"/>
  <c r="K63" i="58"/>
  <c r="J24" i="100"/>
  <c r="J25"/>
  <c r="I24"/>
  <c r="I25"/>
  <c r="H24"/>
  <c r="H25"/>
  <c r="G24"/>
  <c r="G25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AF14"/>
  <c r="AF15"/>
  <c r="AE14"/>
  <c r="AE15"/>
  <c r="AD14"/>
  <c r="AD15"/>
  <c r="AC14"/>
  <c r="AC15"/>
  <c r="AF13"/>
  <c r="AE13"/>
  <c r="AD13"/>
  <c r="AC13"/>
  <c r="AF12"/>
  <c r="AE12"/>
  <c r="AD12"/>
  <c r="AC12"/>
  <c r="AF11"/>
  <c r="AE11"/>
  <c r="AD11"/>
  <c r="AC11"/>
  <c r="AF10"/>
  <c r="AE10"/>
  <c r="AD10"/>
  <c r="AC10"/>
  <c r="F10"/>
  <c r="AF9"/>
  <c r="AE9"/>
  <c r="AD9"/>
  <c r="AC9"/>
  <c r="AF8"/>
  <c r="AE8"/>
  <c r="AD8"/>
  <c r="AC8"/>
  <c r="E47" i="35"/>
  <c r="E46"/>
  <c r="E63" i="58"/>
  <c r="E19" i="65"/>
  <c r="E41" i="48"/>
  <c r="K31" i="45"/>
  <c r="K30"/>
  <c r="K13" i="37"/>
  <c r="K12" i="35"/>
  <c r="K11"/>
  <c r="K10"/>
  <c r="K9"/>
  <c r="K8"/>
  <c r="Q30"/>
  <c r="Q13" i="3"/>
  <c r="Q35" i="35"/>
  <c r="K35" i="3"/>
  <c r="E35"/>
  <c r="Q24" i="58"/>
  <c r="Q35" i="3"/>
  <c r="K13" i="58"/>
  <c r="E57"/>
  <c r="K35"/>
  <c r="E34" i="3"/>
  <c r="K11" i="69"/>
  <c r="K8"/>
  <c r="K9"/>
  <c r="K10"/>
  <c r="K12"/>
  <c r="K13"/>
  <c r="Q9" i="48"/>
  <c r="Q13"/>
  <c r="Q8"/>
  <c r="Q11"/>
  <c r="Q12"/>
  <c r="Q10"/>
  <c r="E12" i="45"/>
  <c r="E13"/>
  <c r="E8" i="48"/>
  <c r="E10"/>
  <c r="E11"/>
  <c r="E13"/>
  <c r="E12"/>
  <c r="E22"/>
  <c r="K19"/>
  <c r="K22"/>
  <c r="K21"/>
  <c r="E20"/>
  <c r="E19"/>
  <c r="K20"/>
  <c r="E21"/>
  <c r="E9"/>
  <c r="E20" i="65"/>
  <c r="Q24" i="48"/>
  <c r="E11" i="65"/>
  <c r="K8" i="51"/>
  <c r="E34" i="48"/>
  <c r="E35"/>
  <c r="E23" i="45"/>
  <c r="E24"/>
  <c r="Q9"/>
  <c r="Q10"/>
  <c r="Q11"/>
  <c r="Q12"/>
  <c r="Q13"/>
  <c r="Q8"/>
  <c r="E12" i="74"/>
  <c r="E13"/>
  <c r="F10" i="89"/>
  <c r="K13" i="74"/>
  <c r="E8" i="62"/>
  <c r="K8"/>
  <c r="K10"/>
  <c r="K11"/>
  <c r="K9"/>
  <c r="K12" i="64"/>
  <c r="K13"/>
  <c r="Q12"/>
  <c r="Q13" i="74"/>
  <c r="K45" i="60"/>
  <c r="E24"/>
  <c r="Q8"/>
  <c r="Q9"/>
  <c r="Q10"/>
  <c r="Q12"/>
  <c r="Q35"/>
  <c r="Q13"/>
  <c r="K30"/>
  <c r="K31"/>
  <c r="K32"/>
  <c r="K33"/>
  <c r="K34"/>
  <c r="K24" i="59"/>
  <c r="E56" i="60"/>
  <c r="E57"/>
  <c r="Q12" i="39"/>
  <c r="K31" i="59"/>
  <c r="K32"/>
  <c r="K33"/>
  <c r="K34"/>
  <c r="K35"/>
  <c r="K30"/>
  <c r="E23"/>
  <c r="Q12" i="63"/>
  <c r="F13" i="85"/>
  <c r="F12"/>
  <c r="K35" i="61"/>
  <c r="K12" i="59"/>
  <c r="K10"/>
  <c r="K8"/>
  <c r="K11"/>
  <c r="K56" i="60"/>
  <c r="F10" i="86"/>
  <c r="K9" i="59"/>
  <c r="E13" i="64"/>
  <c r="I14" i="37"/>
  <c r="J14"/>
  <c r="C14"/>
  <c r="D14"/>
  <c r="O36" i="35"/>
  <c r="P36"/>
  <c r="I36"/>
  <c r="J36"/>
  <c r="K35"/>
  <c r="K34"/>
  <c r="D36"/>
  <c r="E36"/>
  <c r="O46"/>
  <c r="O25"/>
  <c r="Q25"/>
  <c r="O45"/>
  <c r="Q24"/>
  <c r="I25"/>
  <c r="J25"/>
  <c r="C25"/>
  <c r="D25"/>
  <c r="E24"/>
  <c r="J14" i="43"/>
  <c r="J8"/>
  <c r="J9"/>
  <c r="J10"/>
  <c r="J11"/>
  <c r="J12"/>
  <c r="J13"/>
  <c r="I14"/>
  <c r="I8"/>
  <c r="I9"/>
  <c r="I10"/>
  <c r="I11"/>
  <c r="I12"/>
  <c r="I13"/>
  <c r="H14"/>
  <c r="H8"/>
  <c r="H9"/>
  <c r="H10"/>
  <c r="H11"/>
  <c r="H12"/>
  <c r="H13"/>
  <c r="G14"/>
  <c r="G8"/>
  <c r="G9"/>
  <c r="G10"/>
  <c r="G11"/>
  <c r="G12"/>
  <c r="G13"/>
  <c r="J14" i="85"/>
  <c r="J8"/>
  <c r="J9"/>
  <c r="J10"/>
  <c r="J11"/>
  <c r="J12"/>
  <c r="J13"/>
  <c r="I14"/>
  <c r="I8"/>
  <c r="I9"/>
  <c r="I10"/>
  <c r="I11"/>
  <c r="I12"/>
  <c r="I13"/>
  <c r="H14"/>
  <c r="H8"/>
  <c r="H9"/>
  <c r="H10"/>
  <c r="H11"/>
  <c r="H12"/>
  <c r="H13"/>
  <c r="G14"/>
  <c r="G8"/>
  <c r="G9"/>
  <c r="G10"/>
  <c r="G11"/>
  <c r="G12"/>
  <c r="G13"/>
  <c r="F11"/>
  <c r="F10"/>
  <c r="F9"/>
  <c r="F8"/>
  <c r="U14" i="86"/>
  <c r="U8"/>
  <c r="U9"/>
  <c r="U10"/>
  <c r="U11"/>
  <c r="U12"/>
  <c r="U13"/>
  <c r="T14"/>
  <c r="T8"/>
  <c r="T9"/>
  <c r="T10"/>
  <c r="T11"/>
  <c r="T12"/>
  <c r="T13"/>
  <c r="S14"/>
  <c r="S8"/>
  <c r="S9"/>
  <c r="S10"/>
  <c r="S11"/>
  <c r="S12"/>
  <c r="S13"/>
  <c r="R14"/>
  <c r="R8"/>
  <c r="R9"/>
  <c r="R10"/>
  <c r="R11"/>
  <c r="R12"/>
  <c r="R13"/>
  <c r="F9"/>
  <c r="F8"/>
  <c r="J14"/>
  <c r="J8"/>
  <c r="J9"/>
  <c r="J10"/>
  <c r="J11"/>
  <c r="J12"/>
  <c r="J13"/>
  <c r="I14"/>
  <c r="I15"/>
  <c r="I8"/>
  <c r="I9"/>
  <c r="I10"/>
  <c r="I11"/>
  <c r="I12"/>
  <c r="I13"/>
  <c r="H14"/>
  <c r="H15"/>
  <c r="H8"/>
  <c r="H9"/>
  <c r="H10"/>
  <c r="H11"/>
  <c r="H12"/>
  <c r="H13"/>
  <c r="G14"/>
  <c r="G8"/>
  <c r="G9"/>
  <c r="G10"/>
  <c r="G11"/>
  <c r="G12"/>
  <c r="G13"/>
  <c r="J14" i="62"/>
  <c r="I14"/>
  <c r="D14"/>
  <c r="C14"/>
  <c r="F9" i="91"/>
  <c r="T8"/>
  <c r="E13" i="65"/>
  <c r="E13" i="51"/>
  <c r="E12"/>
  <c r="E11"/>
  <c r="E10"/>
  <c r="E9"/>
  <c r="E8"/>
  <c r="K24" i="48"/>
  <c r="K23"/>
  <c r="E24"/>
  <c r="E23"/>
  <c r="K36" i="45"/>
  <c r="K24"/>
  <c r="E13" i="69"/>
  <c r="C14"/>
  <c r="D14"/>
  <c r="I14"/>
  <c r="J14"/>
  <c r="O14"/>
  <c r="P14"/>
  <c r="E24"/>
  <c r="C25"/>
  <c r="D25"/>
  <c r="K24"/>
  <c r="I25"/>
  <c r="J25"/>
  <c r="P14" i="74"/>
  <c r="O14"/>
  <c r="C14"/>
  <c r="D14"/>
  <c r="J14"/>
  <c r="I14"/>
  <c r="J14" i="44"/>
  <c r="I14"/>
  <c r="D14"/>
  <c r="C14"/>
  <c r="O14" i="39"/>
  <c r="P14"/>
  <c r="J14"/>
  <c r="I14"/>
  <c r="Q13"/>
  <c r="K13"/>
  <c r="K12"/>
  <c r="C14"/>
  <c r="D14"/>
  <c r="E13"/>
  <c r="D14" i="61"/>
  <c r="C14"/>
  <c r="J25"/>
  <c r="I25"/>
  <c r="C25"/>
  <c r="D25"/>
  <c r="P14"/>
  <c r="O14"/>
  <c r="I14"/>
  <c r="J14"/>
  <c r="K14"/>
  <c r="O30"/>
  <c r="K24"/>
  <c r="E24"/>
  <c r="Q13"/>
  <c r="Q12"/>
  <c r="K12"/>
  <c r="K9"/>
  <c r="K8"/>
  <c r="E13"/>
  <c r="E12"/>
  <c r="E11"/>
  <c r="E10"/>
  <c r="E9"/>
  <c r="E8"/>
  <c r="E42" i="59"/>
  <c r="E24"/>
  <c r="K13"/>
  <c r="K13" i="75"/>
  <c r="E13"/>
  <c r="K57" i="60"/>
  <c r="K46"/>
  <c r="E46"/>
  <c r="K35"/>
  <c r="Q11"/>
  <c r="E13" i="63"/>
  <c r="Q13" i="64"/>
  <c r="Q13" i="63"/>
  <c r="K13" i="62"/>
  <c r="K12"/>
  <c r="E13"/>
  <c r="D14" i="35"/>
  <c r="C14"/>
  <c r="O14"/>
  <c r="P14"/>
  <c r="I14"/>
  <c r="J14"/>
  <c r="E45"/>
  <c r="K13"/>
  <c r="Q13" i="12"/>
  <c r="Q12"/>
  <c r="Q10"/>
  <c r="Q9"/>
  <c r="Q8"/>
  <c r="Q46" i="58"/>
  <c r="Q45"/>
  <c r="E46"/>
  <c r="Q35"/>
  <c r="Q34"/>
  <c r="E13"/>
  <c r="E12"/>
  <c r="E11"/>
  <c r="E10"/>
  <c r="E9"/>
  <c r="E8"/>
  <c r="E19" i="34"/>
  <c r="L19"/>
  <c r="E13"/>
  <c r="E12"/>
  <c r="Q57" i="3"/>
  <c r="E46"/>
  <c r="K23" i="91"/>
  <c r="K24"/>
  <c r="J23"/>
  <c r="J24"/>
  <c r="I23"/>
  <c r="I24"/>
  <c r="H23"/>
  <c r="H24"/>
  <c r="K22"/>
  <c r="J22"/>
  <c r="I22"/>
  <c r="H22"/>
  <c r="K21"/>
  <c r="J21"/>
  <c r="I21"/>
  <c r="H21"/>
  <c r="K20"/>
  <c r="J20"/>
  <c r="I20"/>
  <c r="H20"/>
  <c r="K19"/>
  <c r="J19"/>
  <c r="I19"/>
  <c r="H19"/>
  <c r="AI14"/>
  <c r="AI15"/>
  <c r="AH14"/>
  <c r="AH15"/>
  <c r="AG14"/>
  <c r="AG15"/>
  <c r="AF14"/>
  <c r="AF15"/>
  <c r="W14"/>
  <c r="W15"/>
  <c r="W8"/>
  <c r="W9"/>
  <c r="W10"/>
  <c r="W11"/>
  <c r="W12"/>
  <c r="W13"/>
  <c r="V14"/>
  <c r="V15"/>
  <c r="U14"/>
  <c r="U15"/>
  <c r="U8"/>
  <c r="U9"/>
  <c r="U10"/>
  <c r="U11"/>
  <c r="U12"/>
  <c r="U13"/>
  <c r="T14"/>
  <c r="T15"/>
  <c r="K14"/>
  <c r="K15"/>
  <c r="K8"/>
  <c r="K9"/>
  <c r="K10"/>
  <c r="K11"/>
  <c r="K12"/>
  <c r="K13"/>
  <c r="J14"/>
  <c r="J15"/>
  <c r="J8"/>
  <c r="J9"/>
  <c r="J10"/>
  <c r="J11"/>
  <c r="J12"/>
  <c r="J13"/>
  <c r="I14"/>
  <c r="I15"/>
  <c r="I8"/>
  <c r="I9"/>
  <c r="I10"/>
  <c r="I11"/>
  <c r="I12"/>
  <c r="I13"/>
  <c r="H14"/>
  <c r="H15"/>
  <c r="H8"/>
  <c r="H9"/>
  <c r="H10"/>
  <c r="H11"/>
  <c r="H12"/>
  <c r="H13"/>
  <c r="AI13"/>
  <c r="AH13"/>
  <c r="AG13"/>
  <c r="AF13"/>
  <c r="V13"/>
  <c r="T13"/>
  <c r="AI12"/>
  <c r="AH12"/>
  <c r="AG12"/>
  <c r="AF12"/>
  <c r="V12"/>
  <c r="T12"/>
  <c r="AI11"/>
  <c r="AH11"/>
  <c r="AG11"/>
  <c r="AF11"/>
  <c r="V11"/>
  <c r="T11"/>
  <c r="AI10"/>
  <c r="AH10"/>
  <c r="AG10"/>
  <c r="AF10"/>
  <c r="V10"/>
  <c r="T10"/>
  <c r="AI9"/>
  <c r="AH9"/>
  <c r="AG9"/>
  <c r="AF9"/>
  <c r="V9"/>
  <c r="T9"/>
  <c r="V8"/>
  <c r="AF14" i="90"/>
  <c r="AF15"/>
  <c r="AE14"/>
  <c r="AE15"/>
  <c r="AD14"/>
  <c r="AD15"/>
  <c r="AC14"/>
  <c r="AC15"/>
  <c r="AF13"/>
  <c r="AE13"/>
  <c r="AD13"/>
  <c r="AC13"/>
  <c r="U13"/>
  <c r="S13"/>
  <c r="AF12"/>
  <c r="AE12"/>
  <c r="AD12"/>
  <c r="AC12"/>
  <c r="U12"/>
  <c r="S12"/>
  <c r="AF11"/>
  <c r="AE11"/>
  <c r="AD11"/>
  <c r="AC11"/>
  <c r="U11"/>
  <c r="S11"/>
  <c r="AF10"/>
  <c r="AE10"/>
  <c r="AD10"/>
  <c r="AC10"/>
  <c r="U10"/>
  <c r="S10"/>
  <c r="AF9"/>
  <c r="AE9"/>
  <c r="AD9"/>
  <c r="AC9"/>
  <c r="U9"/>
  <c r="S9"/>
  <c r="AF8"/>
  <c r="AE8"/>
  <c r="AD8"/>
  <c r="AC8"/>
  <c r="U8"/>
  <c r="S8"/>
  <c r="AF14" i="89"/>
  <c r="AF15"/>
  <c r="AE14"/>
  <c r="AE15"/>
  <c r="AD14"/>
  <c r="AD15"/>
  <c r="AC14"/>
  <c r="AC15"/>
  <c r="AF13"/>
  <c r="AE13"/>
  <c r="AD13"/>
  <c r="AC13"/>
  <c r="U13"/>
  <c r="S13"/>
  <c r="AF12"/>
  <c r="AE12"/>
  <c r="AD12"/>
  <c r="AC12"/>
  <c r="U12"/>
  <c r="S12"/>
  <c r="AF11"/>
  <c r="AE11"/>
  <c r="AD11"/>
  <c r="AC11"/>
  <c r="U11"/>
  <c r="S11"/>
  <c r="AF10"/>
  <c r="AE10"/>
  <c r="AD10"/>
  <c r="AC10"/>
  <c r="U10"/>
  <c r="S10"/>
  <c r="AF9"/>
  <c r="AE9"/>
  <c r="AD9"/>
  <c r="AC9"/>
  <c r="U9"/>
  <c r="S9"/>
  <c r="AF8"/>
  <c r="AE8"/>
  <c r="AD8"/>
  <c r="AC8"/>
  <c r="U8"/>
  <c r="S8"/>
  <c r="AF14" i="86"/>
  <c r="AE14"/>
  <c r="AD14"/>
  <c r="AC14"/>
  <c r="AF13"/>
  <c r="AE13"/>
  <c r="AD13"/>
  <c r="AC13"/>
  <c r="AF12"/>
  <c r="AE12"/>
  <c r="AD12"/>
  <c r="AC12"/>
  <c r="AF11"/>
  <c r="AE11"/>
  <c r="AD11"/>
  <c r="AC11"/>
  <c r="AF10"/>
  <c r="AE10"/>
  <c r="AD10"/>
  <c r="AC10"/>
  <c r="AF9"/>
  <c r="AE9"/>
  <c r="AD9"/>
  <c r="AC9"/>
  <c r="AF8"/>
  <c r="AE8"/>
  <c r="AD8"/>
  <c r="AC8"/>
  <c r="AF14" i="85"/>
  <c r="AE14"/>
  <c r="AD14"/>
  <c r="AC14"/>
  <c r="U14"/>
  <c r="T14"/>
  <c r="S14"/>
  <c r="R14"/>
  <c r="AF13"/>
  <c r="AE13"/>
  <c r="AD13"/>
  <c r="AC13"/>
  <c r="U13"/>
  <c r="T13"/>
  <c r="S13"/>
  <c r="R13"/>
  <c r="AF12"/>
  <c r="AE12"/>
  <c r="AD12"/>
  <c r="AC12"/>
  <c r="U12"/>
  <c r="T12"/>
  <c r="S12"/>
  <c r="R12"/>
  <c r="AF11"/>
  <c r="AE11"/>
  <c r="AD11"/>
  <c r="AC11"/>
  <c r="U11"/>
  <c r="T11"/>
  <c r="S11"/>
  <c r="R11"/>
  <c r="AF10"/>
  <c r="AE10"/>
  <c r="AD10"/>
  <c r="AC10"/>
  <c r="U10"/>
  <c r="T10"/>
  <c r="S10"/>
  <c r="R10"/>
  <c r="AF9"/>
  <c r="AE9"/>
  <c r="AD9"/>
  <c r="AC9"/>
  <c r="U9"/>
  <c r="T9"/>
  <c r="S9"/>
  <c r="R9"/>
  <c r="AF8"/>
  <c r="AE8"/>
  <c r="AD8"/>
  <c r="AC8"/>
  <c r="U8"/>
  <c r="T8"/>
  <c r="S8"/>
  <c r="R8"/>
  <c r="K30" i="61"/>
  <c r="K35" i="45"/>
  <c r="AC9" i="12"/>
  <c r="AC10"/>
  <c r="AC11"/>
  <c r="AC12"/>
  <c r="AC13"/>
  <c r="AE9"/>
  <c r="AE10"/>
  <c r="AE11"/>
  <c r="AE12"/>
  <c r="AE13"/>
  <c r="AF14" i="76"/>
  <c r="AE14"/>
  <c r="AD14"/>
  <c r="AC14"/>
  <c r="U14"/>
  <c r="T14"/>
  <c r="S14"/>
  <c r="R14"/>
  <c r="AF13"/>
  <c r="AE13"/>
  <c r="AD13"/>
  <c r="AC13"/>
  <c r="U13"/>
  <c r="T13"/>
  <c r="S13"/>
  <c r="R13"/>
  <c r="AF12"/>
  <c r="AE12"/>
  <c r="AD12"/>
  <c r="AC12"/>
  <c r="U12"/>
  <c r="T12"/>
  <c r="S12"/>
  <c r="R12"/>
  <c r="AF11"/>
  <c r="AE11"/>
  <c r="AD11"/>
  <c r="AC11"/>
  <c r="U11"/>
  <c r="T11"/>
  <c r="S11"/>
  <c r="R11"/>
  <c r="AF10"/>
  <c r="AE10"/>
  <c r="AD10"/>
  <c r="AC10"/>
  <c r="U10"/>
  <c r="T10"/>
  <c r="S10"/>
  <c r="R10"/>
  <c r="AF9"/>
  <c r="AE9"/>
  <c r="AD9"/>
  <c r="AC9"/>
  <c r="U9"/>
  <c r="T9"/>
  <c r="S9"/>
  <c r="R9"/>
  <c r="AF8"/>
  <c r="AE8"/>
  <c r="AD8"/>
  <c r="AC8"/>
  <c r="U8"/>
  <c r="T8"/>
  <c r="S8"/>
  <c r="R8"/>
  <c r="AF14" i="43"/>
  <c r="AF8"/>
  <c r="AF9"/>
  <c r="AF10"/>
  <c r="AF11"/>
  <c r="AF12"/>
  <c r="AF13"/>
  <c r="AF15"/>
  <c r="AE14"/>
  <c r="AE8"/>
  <c r="AE9"/>
  <c r="AE10"/>
  <c r="AE11"/>
  <c r="AE12"/>
  <c r="AE13"/>
  <c r="AE15"/>
  <c r="AD14"/>
  <c r="AD8"/>
  <c r="AD9"/>
  <c r="AD10"/>
  <c r="AD11"/>
  <c r="AD12"/>
  <c r="AD13"/>
  <c r="AD15"/>
  <c r="AC14"/>
  <c r="AC8"/>
  <c r="AC9"/>
  <c r="AC10"/>
  <c r="AC11"/>
  <c r="AC12"/>
  <c r="AC13"/>
  <c r="AC15"/>
  <c r="U14"/>
  <c r="U15"/>
  <c r="U8"/>
  <c r="U9"/>
  <c r="U10"/>
  <c r="U11"/>
  <c r="U12"/>
  <c r="U13"/>
  <c r="T14"/>
  <c r="T15"/>
  <c r="S14"/>
  <c r="S15"/>
  <c r="S8"/>
  <c r="S9"/>
  <c r="S10"/>
  <c r="S11"/>
  <c r="S12"/>
  <c r="S13"/>
  <c r="R14"/>
  <c r="R15"/>
  <c r="T13"/>
  <c r="R13"/>
  <c r="T12"/>
  <c r="R12"/>
  <c r="T11"/>
  <c r="R11"/>
  <c r="T10"/>
  <c r="R10"/>
  <c r="T9"/>
  <c r="R9"/>
  <c r="T8"/>
  <c r="R8"/>
  <c r="U15" i="86"/>
  <c r="G15" i="43"/>
  <c r="H15"/>
  <c r="J15" i="86"/>
  <c r="T24" i="91"/>
  <c r="U24"/>
  <c r="G15" i="86"/>
  <c r="T15" i="102"/>
  <c r="J15" i="76"/>
  <c r="G15"/>
  <c r="R15" i="102"/>
  <c r="U15"/>
  <c r="I15" i="76"/>
  <c r="S15" i="102"/>
  <c r="H15" i="76"/>
  <c r="V24" i="91"/>
  <c r="W24"/>
  <c r="AA7" i="100"/>
  <c r="AC14" i="2"/>
  <c r="AC13"/>
  <c r="AC12"/>
  <c r="AC11"/>
  <c r="AC10"/>
  <c r="AC9"/>
  <c r="AC8"/>
  <c r="AC7"/>
  <c r="AC15"/>
  <c r="AC27"/>
  <c r="AC26"/>
  <c r="AC25"/>
  <c r="AC24"/>
  <c r="AC23"/>
  <c r="AC22"/>
  <c r="AC21"/>
  <c r="AC20"/>
  <c r="AC19"/>
  <c r="AC18"/>
  <c r="AC17"/>
  <c r="AC16"/>
  <c r="AC28"/>
  <c r="AC29"/>
  <c r="AC30"/>
  <c r="Y18"/>
  <c r="Y17"/>
  <c r="Y16"/>
  <c r="Y15"/>
  <c r="Y14"/>
  <c r="Y13"/>
  <c r="Y12"/>
  <c r="Y11"/>
  <c r="Y10"/>
  <c r="Y9"/>
  <c r="Y8"/>
  <c r="AC31"/>
  <c r="AC19" i="34"/>
  <c r="AC18"/>
  <c r="AC17"/>
  <c r="AC16"/>
  <c r="AC15"/>
  <c r="AC14"/>
  <c r="AC13"/>
  <c r="AC12"/>
  <c r="AC11"/>
  <c r="AC10"/>
  <c r="AC9"/>
  <c r="AC8"/>
  <c r="AC20"/>
  <c r="AC21"/>
  <c r="AC22"/>
  <c r="AC23"/>
  <c r="AC24"/>
  <c r="AC25"/>
  <c r="AC26"/>
  <c r="AC27"/>
  <c r="AC28"/>
  <c r="AC29"/>
  <c r="AC30"/>
  <c r="P8"/>
  <c r="Y11"/>
  <c r="Y10"/>
  <c r="Y9"/>
  <c r="Y8"/>
  <c r="AC7"/>
  <c r="AC31"/>
  <c r="Y14"/>
  <c r="Y13"/>
  <c r="Y12"/>
  <c r="AA11"/>
  <c r="AA10"/>
  <c r="AA9"/>
  <c r="AA8"/>
  <c r="AA14"/>
  <c r="AA13"/>
  <c r="AA12"/>
  <c r="P7"/>
  <c r="Y15"/>
  <c r="Y17"/>
  <c r="Y16"/>
  <c r="Y18"/>
  <c r="AA15"/>
  <c r="AA16"/>
  <c r="AA18"/>
  <c r="AA17"/>
  <c r="Y31"/>
  <c r="Y30"/>
  <c r="Y29"/>
  <c r="Y28"/>
  <c r="Y27"/>
  <c r="Y26"/>
  <c r="Y25"/>
  <c r="Y24"/>
  <c r="Y23"/>
  <c r="Y22"/>
  <c r="Y21"/>
  <c r="Y20"/>
  <c r="Y19"/>
  <c r="AA31"/>
  <c r="AA30"/>
  <c r="AA29"/>
  <c r="AA28"/>
  <c r="AA27"/>
  <c r="AA26"/>
  <c r="AA25"/>
  <c r="AA24"/>
  <c r="AA23"/>
  <c r="AA22"/>
  <c r="AA21"/>
  <c r="AA20"/>
  <c r="AA19"/>
  <c r="Y7"/>
  <c r="AA7"/>
  <c r="AC11" i="68"/>
  <c r="AC10"/>
  <c r="AC9"/>
  <c r="AC8"/>
  <c r="Y7"/>
  <c r="AA7"/>
  <c r="AC14"/>
  <c r="AC13"/>
  <c r="AC12"/>
  <c r="I15" i="43"/>
  <c r="J15"/>
  <c r="E14"/>
  <c r="D14"/>
  <c r="F14"/>
  <c r="Z7"/>
  <c r="AA7"/>
  <c r="Q14" i="74"/>
  <c r="O20"/>
  <c r="K14"/>
  <c r="O19"/>
  <c r="E14"/>
  <c r="O18"/>
  <c r="AC36" i="69"/>
  <c r="AC9"/>
  <c r="AC26"/>
  <c r="AC37"/>
  <c r="AC11"/>
  <c r="AC20"/>
  <c r="AC27"/>
  <c r="AC10"/>
  <c r="K25"/>
  <c r="O22"/>
  <c r="E25"/>
  <c r="O21"/>
  <c r="Q14"/>
  <c r="O20"/>
  <c r="K14"/>
  <c r="O19"/>
  <c r="E14"/>
  <c r="O18"/>
  <c r="AC14"/>
  <c r="AC30"/>
  <c r="AC15"/>
  <c r="AC31"/>
  <c r="AC13"/>
  <c r="AC8"/>
  <c r="AC24"/>
  <c r="AC17"/>
  <c r="AC18"/>
  <c r="AC34"/>
  <c r="AC19"/>
  <c r="AC35"/>
  <c r="AC21"/>
  <c r="AC12"/>
  <c r="AC28"/>
  <c r="AC25"/>
  <c r="AC22"/>
  <c r="AC38"/>
  <c r="AC23"/>
  <c r="AC7"/>
  <c r="AC29"/>
  <c r="AC16"/>
  <c r="AC32"/>
  <c r="AC33"/>
  <c r="G15" i="106"/>
  <c r="K14" i="44"/>
  <c r="O9"/>
  <c r="E14"/>
  <c r="O8"/>
  <c r="I15" i="106"/>
  <c r="J15"/>
  <c r="H15"/>
  <c r="E36" i="61"/>
  <c r="O34"/>
  <c r="Q25"/>
  <c r="O33"/>
  <c r="K25"/>
  <c r="O32"/>
  <c r="E25"/>
  <c r="O31"/>
  <c r="Q14"/>
  <c r="AC8"/>
  <c r="E14"/>
  <c r="O29"/>
  <c r="AC20"/>
  <c r="AC36"/>
  <c r="AC17"/>
  <c r="AC33"/>
  <c r="AC49"/>
  <c r="AC22"/>
  <c r="AC38"/>
  <c r="AC15"/>
  <c r="AC31"/>
  <c r="AC47"/>
  <c r="AC16"/>
  <c r="AC48"/>
  <c r="AC24"/>
  <c r="AC40"/>
  <c r="AC21"/>
  <c r="AC37"/>
  <c r="AC10"/>
  <c r="AC26"/>
  <c r="AC42"/>
  <c r="AC19"/>
  <c r="AC35"/>
  <c r="AC32"/>
  <c r="AC12"/>
  <c r="AC28"/>
  <c r="AC44"/>
  <c r="AC9"/>
  <c r="AC25"/>
  <c r="AC41"/>
  <c r="AC14"/>
  <c r="AC30"/>
  <c r="AC46"/>
  <c r="AC23"/>
  <c r="AC39"/>
  <c r="AC13"/>
  <c r="AC29"/>
  <c r="AC45"/>
  <c r="AC18"/>
  <c r="AC34"/>
  <c r="AC7"/>
  <c r="AC11"/>
  <c r="AC27"/>
  <c r="AC43"/>
  <c r="J15" i="85"/>
  <c r="I15"/>
  <c r="H15"/>
  <c r="G15"/>
  <c r="E14" i="76"/>
  <c r="AC7" i="39"/>
  <c r="D14" i="76"/>
  <c r="Q14" i="39"/>
  <c r="O20"/>
  <c r="K14"/>
  <c r="O19"/>
  <c r="E14"/>
  <c r="O18"/>
  <c r="R15" i="86"/>
  <c r="T15"/>
  <c r="S15"/>
  <c r="D14"/>
  <c r="K25" i="62"/>
  <c r="O22"/>
  <c r="Q14"/>
  <c r="O20"/>
  <c r="AC7"/>
  <c r="AC12"/>
  <c r="AC16"/>
  <c r="AC20"/>
  <c r="AC24"/>
  <c r="AC28"/>
  <c r="AC32"/>
  <c r="AC8"/>
  <c r="AC13"/>
  <c r="AC17"/>
  <c r="AC21"/>
  <c r="AC25"/>
  <c r="AC29"/>
  <c r="AC33"/>
  <c r="AC9"/>
  <c r="AC14"/>
  <c r="AC18"/>
  <c r="AC22"/>
  <c r="AC26"/>
  <c r="AC30"/>
  <c r="AC34"/>
  <c r="AC10"/>
  <c r="AC15"/>
  <c r="AC19"/>
  <c r="AC23"/>
  <c r="AC27"/>
  <c r="AC31"/>
  <c r="E14" i="86"/>
  <c r="K14" i="62"/>
  <c r="O19"/>
  <c r="E14"/>
  <c r="O18"/>
  <c r="E25"/>
  <c r="O21"/>
  <c r="AC13" i="77"/>
  <c r="AC10"/>
  <c r="AC14"/>
  <c r="AC12"/>
  <c r="AC8"/>
  <c r="AC11"/>
  <c r="AC15"/>
  <c r="AC9"/>
  <c r="AC7"/>
  <c r="E14"/>
  <c r="O13"/>
  <c r="P13"/>
  <c r="AC18" i="37"/>
  <c r="AC7"/>
  <c r="AC23"/>
  <c r="AC16"/>
  <c r="AC21"/>
  <c r="AC22"/>
  <c r="AC11"/>
  <c r="AC27"/>
  <c r="AC20"/>
  <c r="AC26"/>
  <c r="AC15"/>
  <c r="AC14"/>
  <c r="AC19"/>
  <c r="AC12"/>
  <c r="AC10"/>
  <c r="AC25"/>
  <c r="AC13"/>
  <c r="AC8"/>
  <c r="AC24"/>
  <c r="AC17"/>
  <c r="Q14"/>
  <c r="O21"/>
  <c r="K14"/>
  <c r="O20"/>
  <c r="E14"/>
  <c r="O19"/>
  <c r="E14" i="102"/>
  <c r="G15"/>
  <c r="D14"/>
  <c r="F14"/>
  <c r="Z7"/>
  <c r="Q36" i="35"/>
  <c r="O48"/>
  <c r="K36"/>
  <c r="O47"/>
  <c r="K25"/>
  <c r="O44"/>
  <c r="E25"/>
  <c r="O43"/>
  <c r="Q14"/>
  <c r="O42"/>
  <c r="K14"/>
  <c r="O41"/>
  <c r="E14"/>
  <c r="O40"/>
  <c r="AC26"/>
  <c r="AC42"/>
  <c r="AC58"/>
  <c r="AC19"/>
  <c r="AC35"/>
  <c r="AC51"/>
  <c r="AC23"/>
  <c r="AC39"/>
  <c r="AC55"/>
  <c r="AC43"/>
  <c r="AC59"/>
  <c r="P19" i="74"/>
  <c r="P18"/>
  <c r="P20"/>
  <c r="AA8" i="43"/>
  <c r="P20" i="69"/>
  <c r="P22"/>
  <c r="P18"/>
  <c r="P19"/>
  <c r="P21"/>
  <c r="D14" i="106"/>
  <c r="P9" i="44"/>
  <c r="P8"/>
  <c r="E14" i="106"/>
  <c r="P32" i="61"/>
  <c r="P31"/>
  <c r="P33"/>
  <c r="P30"/>
  <c r="P34"/>
  <c r="E14" i="85"/>
  <c r="D14"/>
  <c r="F14" i="76"/>
  <c r="O7"/>
  <c r="P7"/>
  <c r="P20" i="39"/>
  <c r="P19"/>
  <c r="P18"/>
  <c r="F14" i="86"/>
  <c r="Z7"/>
  <c r="AA7"/>
  <c r="P19" i="62"/>
  <c r="P21"/>
  <c r="P20"/>
  <c r="P22"/>
  <c r="P18"/>
  <c r="P19" i="37"/>
  <c r="P21"/>
  <c r="P20"/>
  <c r="P48" i="35"/>
  <c r="P45"/>
  <c r="P44"/>
  <c r="P47"/>
  <c r="P43"/>
  <c r="P46"/>
  <c r="P42"/>
  <c r="P41"/>
  <c r="P40"/>
  <c r="F14" i="106"/>
  <c r="O7"/>
  <c r="P7"/>
  <c r="F14" i="85"/>
  <c r="Z7"/>
  <c r="AA8"/>
  <c r="AA7"/>
  <c r="P35" i="45"/>
  <c r="P34"/>
  <c r="P33"/>
  <c r="P32"/>
  <c r="P31"/>
  <c r="P30"/>
  <c r="AC8"/>
  <c r="AC9"/>
  <c r="AC10"/>
  <c r="AC11"/>
  <c r="P29"/>
  <c r="AC12"/>
  <c r="AC13"/>
  <c r="AC14"/>
  <c r="AC15"/>
  <c r="AC16"/>
  <c r="AC17"/>
  <c r="AC18"/>
  <c r="AC19"/>
  <c r="AC20"/>
  <c r="AC21"/>
  <c r="AC22"/>
  <c r="AC23"/>
  <c r="AC25"/>
  <c r="AC26"/>
  <c r="AC27"/>
  <c r="AC30"/>
  <c r="AC29"/>
  <c r="AC28"/>
  <c r="AC31"/>
  <c r="AC32"/>
  <c r="AC33"/>
  <c r="AC34"/>
  <c r="AC35"/>
  <c r="AC36"/>
  <c r="AC37"/>
  <c r="AC38"/>
  <c r="AC39"/>
  <c r="AC40"/>
  <c r="AC41"/>
  <c r="AC42"/>
  <c r="AC43"/>
  <c r="AC44"/>
  <c r="AC7"/>
  <c r="AC51"/>
  <c r="AC50"/>
  <c r="AC49"/>
  <c r="AC48"/>
  <c r="AC47"/>
  <c r="AC46"/>
  <c r="AC45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3"/>
  <c r="Y22"/>
  <c r="Y21"/>
  <c r="Y20"/>
  <c r="Y19"/>
  <c r="Y18"/>
  <c r="Y17"/>
  <c r="Y16"/>
  <c r="Y15"/>
  <c r="Y14"/>
  <c r="Y13"/>
  <c r="Y12"/>
  <c r="Y11"/>
  <c r="Y10"/>
  <c r="Y9"/>
  <c r="Y8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3"/>
  <c r="AA22"/>
  <c r="AA21"/>
  <c r="AA20"/>
  <c r="AA19"/>
  <c r="AA18"/>
  <c r="AA17"/>
  <c r="AA16"/>
  <c r="AA15"/>
  <c r="AA14"/>
  <c r="AA13"/>
  <c r="AA12"/>
  <c r="AA11"/>
  <c r="AA10"/>
  <c r="AA9"/>
  <c r="AA8"/>
  <c r="Y7"/>
  <c r="AA7"/>
  <c r="AA8" i="89"/>
  <c r="AA7"/>
  <c r="AC8" i="47"/>
  <c r="AC9"/>
  <c r="AC10"/>
  <c r="AC11"/>
  <c r="AC12"/>
  <c r="AC13"/>
  <c r="AC14"/>
  <c r="AC15"/>
  <c r="AC16"/>
  <c r="AC17"/>
  <c r="AC18"/>
  <c r="AC19"/>
  <c r="Y24"/>
  <c r="Y23"/>
  <c r="Y22"/>
  <c r="Y21"/>
  <c r="Y20"/>
  <c r="Y19"/>
  <c r="Y18"/>
  <c r="Y17"/>
  <c r="Y16"/>
  <c r="Y15"/>
  <c r="Y14"/>
  <c r="Y13"/>
  <c r="Y12"/>
  <c r="Y11"/>
  <c r="Y10"/>
  <c r="Y9"/>
  <c r="Y8"/>
  <c r="AC24"/>
  <c r="AC23"/>
  <c r="AC22"/>
  <c r="AC21"/>
  <c r="AC20"/>
  <c r="Y7"/>
  <c r="AC7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Y13" i="73"/>
  <c r="Y12"/>
  <c r="Y11"/>
  <c r="Y10"/>
  <c r="Y9"/>
  <c r="Y8"/>
  <c r="AC13"/>
  <c r="AC12"/>
  <c r="AC11"/>
  <c r="AC10"/>
  <c r="AC9"/>
  <c r="AC8"/>
  <c r="Y7"/>
  <c r="AC7"/>
  <c r="AA13"/>
  <c r="AA12"/>
  <c r="AA11"/>
  <c r="AA10"/>
  <c r="AA9"/>
  <c r="AA8"/>
  <c r="AA7"/>
  <c r="AA8" i="90"/>
  <c r="AA7"/>
  <c r="P18" i="51"/>
  <c r="P22"/>
  <c r="P21"/>
  <c r="P20"/>
  <c r="P1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Y8"/>
  <c r="Y9"/>
  <c r="AA8"/>
  <c r="AA9"/>
  <c r="Y10"/>
  <c r="Y11"/>
  <c r="Y12"/>
  <c r="Y13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AA10"/>
  <c r="AA11"/>
  <c r="AA12"/>
  <c r="AA13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Y7"/>
  <c r="Y38"/>
  <c r="Y37"/>
  <c r="Y36"/>
  <c r="Y35"/>
  <c r="Y34"/>
  <c r="Y33"/>
  <c r="Y32"/>
  <c r="AA7"/>
  <c r="AA38"/>
  <c r="AA37"/>
  <c r="AA36"/>
  <c r="AA35"/>
  <c r="AA34"/>
  <c r="AA33"/>
  <c r="AA32"/>
  <c r="Y7" i="101"/>
  <c r="AC7"/>
  <c r="AC8"/>
  <c r="AC8" i="65"/>
  <c r="AC9"/>
  <c r="AC10"/>
  <c r="AC11"/>
  <c r="AC15"/>
  <c r="AC14"/>
  <c r="AC13"/>
  <c r="AC12"/>
  <c r="AC16"/>
  <c r="AC17"/>
  <c r="AC18"/>
  <c r="AC19"/>
  <c r="AC20"/>
  <c r="AC21"/>
  <c r="AC22"/>
  <c r="AC23"/>
  <c r="AC24"/>
  <c r="AC25"/>
  <c r="AC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26"/>
  <c r="AC7"/>
  <c r="AA7"/>
  <c r="Y12"/>
  <c r="Y11"/>
  <c r="Y10"/>
  <c r="Y9"/>
  <c r="Y8"/>
  <c r="Y13"/>
  <c r="Y14"/>
  <c r="P20"/>
  <c r="P19"/>
  <c r="P18"/>
  <c r="G9" i="91"/>
  <c r="G8"/>
  <c r="S10"/>
  <c r="S9"/>
  <c r="S8"/>
  <c r="P8" i="75"/>
  <c r="AC20"/>
  <c r="AC19"/>
  <c r="AC18"/>
  <c r="AC17"/>
  <c r="AC16"/>
  <c r="AC15"/>
  <c r="AC14"/>
  <c r="AC13"/>
  <c r="AC12"/>
  <c r="AC11"/>
  <c r="AC10"/>
  <c r="AC9"/>
  <c r="AC8"/>
  <c r="AC7"/>
  <c r="Y8"/>
  <c r="Y9"/>
  <c r="Y10"/>
  <c r="AA8"/>
  <c r="AA9"/>
  <c r="AA10"/>
  <c r="P7"/>
  <c r="Y11"/>
  <c r="Y12"/>
  <c r="Y13"/>
  <c r="Y14"/>
  <c r="Y15"/>
  <c r="AA11"/>
  <c r="AA12"/>
  <c r="AA13"/>
  <c r="AA14"/>
  <c r="AA15"/>
  <c r="AC80" i="59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81"/>
  <c r="AC82"/>
  <c r="AC83"/>
  <c r="AC84"/>
  <c r="AC85"/>
  <c r="AA8" i="105"/>
  <c r="AA7"/>
  <c r="AA31" i="2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Y7"/>
  <c r="Y31"/>
  <c r="Y30"/>
  <c r="Y29"/>
  <c r="Y28"/>
  <c r="Y27"/>
  <c r="Y26"/>
  <c r="Y25"/>
  <c r="Y24"/>
  <c r="Y23"/>
  <c r="Y22"/>
  <c r="Y21"/>
  <c r="Y20"/>
  <c r="Y19"/>
  <c r="AC12" i="39"/>
  <c r="AC16"/>
  <c r="AC20"/>
  <c r="AC9"/>
  <c r="AC13"/>
  <c r="AC17"/>
  <c r="AC21"/>
  <c r="AC10"/>
  <c r="AC14"/>
  <c r="AC18"/>
  <c r="AC22"/>
  <c r="AC11"/>
  <c r="AC15"/>
  <c r="AC19"/>
  <c r="AC8"/>
  <c r="AA8"/>
  <c r="Q8" i="88"/>
  <c r="Q7"/>
  <c r="AG8" i="91"/>
  <c r="AH8"/>
  <c r="AI8"/>
  <c r="P29" i="61"/>
  <c r="P63" i="59"/>
  <c r="P62"/>
  <c r="P61"/>
  <c r="P60"/>
  <c r="P59"/>
  <c r="P58"/>
  <c r="P57"/>
  <c r="P56"/>
  <c r="P55"/>
  <c r="P54"/>
  <c r="P53"/>
  <c r="P52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C7"/>
  <c r="AC86"/>
  <c r="P51"/>
  <c r="P23" i="64"/>
  <c r="P22"/>
  <c r="P21"/>
  <c r="P20"/>
  <c r="Y7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AA7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C7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11" i="62"/>
  <c r="AA11"/>
  <c r="AC94" i="63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P64"/>
  <c r="P63"/>
  <c r="P62"/>
  <c r="P61"/>
  <c r="P60"/>
  <c r="P59"/>
  <c r="P58"/>
  <c r="P57"/>
  <c r="P56"/>
  <c r="P55"/>
  <c r="P54"/>
  <c r="P53"/>
  <c r="P5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92"/>
  <c r="Y93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92"/>
  <c r="AA93"/>
  <c r="P36" i="48"/>
  <c r="P35"/>
  <c r="P34"/>
  <c r="P33"/>
  <c r="P32"/>
  <c r="P31"/>
  <c r="P30"/>
  <c r="AC10"/>
  <c r="AC9"/>
  <c r="AC8"/>
  <c r="P29"/>
  <c r="AC11"/>
  <c r="AC13"/>
  <c r="AC12"/>
  <c r="AC16"/>
  <c r="AC15"/>
  <c r="AC14"/>
  <c r="Y15"/>
  <c r="Y14"/>
  <c r="Y13"/>
  <c r="Y12"/>
  <c r="Y11"/>
  <c r="Y10"/>
  <c r="Y9"/>
  <c r="Y8"/>
  <c r="AC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A15"/>
  <c r="AA14"/>
  <c r="AA13"/>
  <c r="AA12"/>
  <c r="AA11"/>
  <c r="AA10"/>
  <c r="AA9"/>
  <c r="AA8"/>
  <c r="Y17"/>
  <c r="Y16"/>
  <c r="Y18"/>
  <c r="Y19"/>
  <c r="Y20"/>
  <c r="Y21"/>
  <c r="AA17"/>
  <c r="AA16"/>
  <c r="AA18"/>
  <c r="AA19"/>
  <c r="AA20"/>
  <c r="AA21"/>
  <c r="Y22"/>
  <c r="Y23"/>
  <c r="Y24"/>
  <c r="Y25"/>
  <c r="Y26"/>
  <c r="Y27"/>
  <c r="AA22"/>
  <c r="AA23"/>
  <c r="AA24"/>
  <c r="AA25"/>
  <c r="AA26"/>
  <c r="AA27"/>
  <c r="Y28"/>
  <c r="Y29"/>
  <c r="Y30"/>
  <c r="Y31"/>
  <c r="AA28"/>
  <c r="AA29"/>
  <c r="AA30"/>
  <c r="AA31"/>
  <c r="Y35"/>
  <c r="Y34"/>
  <c r="Y33"/>
  <c r="Y32"/>
  <c r="Y36"/>
  <c r="Y37"/>
  <c r="Y38"/>
  <c r="Y39"/>
  <c r="AA35"/>
  <c r="AA34"/>
  <c r="AA33"/>
  <c r="AA32"/>
  <c r="AA36"/>
  <c r="AA37"/>
  <c r="AA38"/>
  <c r="AA39"/>
  <c r="Y40"/>
  <c r="Y41"/>
  <c r="Y42"/>
  <c r="Y43"/>
  <c r="AA40"/>
  <c r="AA41"/>
  <c r="AA42"/>
  <c r="AA43"/>
  <c r="Y44"/>
  <c r="Y45"/>
  <c r="Y46"/>
  <c r="Y47"/>
  <c r="Y48"/>
  <c r="Y49"/>
  <c r="AA44"/>
  <c r="AA45"/>
  <c r="AA46"/>
  <c r="AA47"/>
  <c r="AA48"/>
  <c r="AA49"/>
  <c r="Y56"/>
  <c r="Y55"/>
  <c r="Y54"/>
  <c r="Y53"/>
  <c r="Y52"/>
  <c r="Y51"/>
  <c r="Y50"/>
  <c r="AA56"/>
  <c r="AA55"/>
  <c r="AA54"/>
  <c r="AA53"/>
  <c r="AA52"/>
  <c r="AA51"/>
  <c r="AA50"/>
  <c r="Y7"/>
  <c r="AA7"/>
  <c r="AC137" i="60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13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AC7"/>
  <c r="AC139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Y129"/>
  <c r="Y128"/>
  <c r="Y7"/>
  <c r="Y139"/>
  <c r="Y138"/>
  <c r="Y137"/>
  <c r="Y136"/>
  <c r="Y135"/>
  <c r="Y134"/>
  <c r="Y133"/>
  <c r="Y132"/>
  <c r="Y131"/>
  <c r="Y130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128"/>
  <c r="AA129"/>
  <c r="AA130"/>
  <c r="AA131"/>
  <c r="P118"/>
  <c r="AA132"/>
  <c r="AA133"/>
  <c r="AA136"/>
  <c r="AA135"/>
  <c r="AA134"/>
  <c r="P76" i="58"/>
  <c r="P75"/>
  <c r="P74"/>
  <c r="P73"/>
  <c r="P72"/>
  <c r="P71"/>
  <c r="P70"/>
  <c r="P69"/>
  <c r="P68"/>
  <c r="P67"/>
  <c r="P66"/>
  <c r="P65"/>
  <c r="P64"/>
  <c r="P63"/>
  <c r="P62"/>
  <c r="P88" i="3"/>
  <c r="P87"/>
  <c r="P86"/>
  <c r="P85"/>
  <c r="P84"/>
  <c r="P83"/>
  <c r="P82"/>
  <c r="P81"/>
  <c r="P80"/>
  <c r="P79"/>
  <c r="P78"/>
  <c r="P77"/>
  <c r="P76"/>
  <c r="P75"/>
  <c r="P74"/>
  <c r="P73"/>
  <c r="P90"/>
  <c r="P89"/>
  <c r="P18" i="2"/>
  <c r="AC53" i="58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Y34" i="62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P13" i="47"/>
  <c r="AA7" i="60"/>
  <c r="AA139"/>
  <c r="AA138"/>
  <c r="AA137"/>
  <c r="P51" i="63"/>
  <c r="P119" i="60"/>
  <c r="AC7" i="68"/>
  <c r="AC8" i="3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Y102" i="58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C3" i="99"/>
  <c r="C17"/>
  <c r="C16"/>
  <c r="C15"/>
  <c r="C14"/>
  <c r="C13"/>
  <c r="C12"/>
  <c r="C11"/>
  <c r="C10"/>
  <c r="C9"/>
  <c r="C8"/>
  <c r="C7"/>
  <c r="C6"/>
  <c r="C5"/>
  <c r="C4"/>
  <c r="C3" i="94"/>
  <c r="C5"/>
  <c r="C4"/>
  <c r="C3" i="95"/>
  <c r="C15"/>
  <c r="C14"/>
  <c r="C13"/>
  <c r="C12"/>
  <c r="C11"/>
  <c r="C10"/>
  <c r="C9"/>
  <c r="C8"/>
  <c r="C7"/>
  <c r="C6"/>
  <c r="C5"/>
  <c r="C4"/>
  <c r="C3" i="96"/>
  <c r="C10"/>
  <c r="C9"/>
  <c r="C8"/>
  <c r="C7"/>
  <c r="C6"/>
  <c r="C5"/>
  <c r="C4"/>
  <c r="AC24" i="45"/>
  <c r="AA24"/>
  <c r="Y24"/>
</calcChain>
</file>

<file path=xl/sharedStrings.xml><?xml version="1.0" encoding="utf-8"?>
<sst xmlns="http://schemas.openxmlformats.org/spreadsheetml/2006/main" count="6934" uniqueCount="1382">
  <si>
    <t>M/F</t>
  </si>
  <si>
    <t>No.</t>
  </si>
  <si>
    <t>NAME</t>
  </si>
  <si>
    <t>FLOOR</t>
  </si>
  <si>
    <t>VAULT</t>
  </si>
  <si>
    <t>TOTAL</t>
  </si>
  <si>
    <t>Floor</t>
  </si>
  <si>
    <t>Vault</t>
  </si>
  <si>
    <t>M</t>
  </si>
  <si>
    <t>F</t>
  </si>
  <si>
    <t>TEAM TOTAL</t>
  </si>
  <si>
    <t>POS</t>
  </si>
  <si>
    <t>CLUB</t>
  </si>
  <si>
    <t>CITY OF STOKE GC</t>
  </si>
  <si>
    <t>pos</t>
  </si>
  <si>
    <t>pos2</t>
  </si>
  <si>
    <t>pos3</t>
  </si>
  <si>
    <t>UTTOXETER GC</t>
  </si>
  <si>
    <t>Amy Harrison</t>
  </si>
  <si>
    <t>Imogen Jones</t>
  </si>
  <si>
    <t>Eddie Cooper</t>
  </si>
  <si>
    <t>BROMSGROVE GC</t>
  </si>
  <si>
    <t>Olivia Waddell</t>
  </si>
  <si>
    <t>CLUB2</t>
  </si>
  <si>
    <t>NAME3</t>
  </si>
  <si>
    <t>Floor4</t>
  </si>
  <si>
    <t>pos5</t>
  </si>
  <si>
    <t>Vault6</t>
  </si>
  <si>
    <t>pos27</t>
  </si>
  <si>
    <t>TOTAL8</t>
  </si>
  <si>
    <t>pos39</t>
  </si>
  <si>
    <t>Sophie Scott</t>
  </si>
  <si>
    <t>Lewis Walker</t>
  </si>
  <si>
    <t>WYRE FOREST</t>
  </si>
  <si>
    <t>Grace Gregory</t>
  </si>
  <si>
    <t>Katie Jarrard</t>
  </si>
  <si>
    <t>Charlotte Smith</t>
  </si>
  <si>
    <t xml:space="preserve">Top 4 scores </t>
  </si>
  <si>
    <t>Sophie Jones</t>
  </si>
  <si>
    <t>Samuel Jackson</t>
  </si>
  <si>
    <t>Milo Boffey</t>
  </si>
  <si>
    <t>Ellie Jones</t>
  </si>
  <si>
    <t>Esme Dentith</t>
  </si>
  <si>
    <t>Grace Coley</t>
  </si>
  <si>
    <t>Amie Jeff</t>
  </si>
  <si>
    <t>BROMSGROVE GYMNASTICS CLUB</t>
  </si>
  <si>
    <t>Tiffany Harris</t>
  </si>
  <si>
    <t>Isabella Thurston</t>
  </si>
  <si>
    <t>Lola Bailey</t>
  </si>
  <si>
    <t>CITY OF STOKE GYM CLUB</t>
  </si>
  <si>
    <t>Alanya Blurton</t>
  </si>
  <si>
    <t>Claudia Lunt</t>
  </si>
  <si>
    <t xml:space="preserve">WYRE FOREST GYMNASTICS SCHOOL </t>
  </si>
  <si>
    <t>Cara Chambers</t>
  </si>
  <si>
    <t>Isobel Oxborough</t>
  </si>
  <si>
    <t>Olivia Gomes-Smith</t>
  </si>
  <si>
    <t>Emily Duncan</t>
  </si>
  <si>
    <t>Francesca Benson-Stelling</t>
  </si>
  <si>
    <t>Imogen Humphries</t>
  </si>
  <si>
    <t>Hannah Cukic</t>
  </si>
  <si>
    <t>Rebecca Thornton</t>
  </si>
  <si>
    <t>Erin High</t>
  </si>
  <si>
    <t>Leah Griffin</t>
  </si>
  <si>
    <t>Tegan Bailey</t>
  </si>
  <si>
    <t>Lauren Whateley</t>
  </si>
  <si>
    <t>Naomi Jones</t>
  </si>
  <si>
    <t>Liana Southwell</t>
  </si>
  <si>
    <t>Rhea Jhanji</t>
  </si>
  <si>
    <t>Sydnee Mullett</t>
  </si>
  <si>
    <t>Phoebe Cope</t>
  </si>
  <si>
    <t>Ella Bennett</t>
  </si>
  <si>
    <t>Gabriella Liuzzi-Jones</t>
  </si>
  <si>
    <t>Victoria Corbett</t>
  </si>
  <si>
    <t>Jake Watson</t>
  </si>
  <si>
    <t>Jadon Salt</t>
  </si>
  <si>
    <t>Oliver Stevenson</t>
  </si>
  <si>
    <t>Rhys Richards</t>
  </si>
  <si>
    <t>Owen Buxton</t>
  </si>
  <si>
    <t>Theo Hulse</t>
  </si>
  <si>
    <t>Sophie Knowles</t>
  </si>
  <si>
    <t>Amalee Stokes</t>
  </si>
  <si>
    <t>STOKE</t>
  </si>
  <si>
    <t>Erin Gascoigne Jones</t>
  </si>
  <si>
    <t>Harriet Colley</t>
  </si>
  <si>
    <t>Gracie Wilmer</t>
  </si>
  <si>
    <t xml:space="preserve">CITY OF WORCESTER GYMNASTICS CLUB </t>
  </si>
  <si>
    <t>Jessica Bridge</t>
  </si>
  <si>
    <t>UTTOX</t>
  </si>
  <si>
    <t>Joshua Fowler</t>
  </si>
  <si>
    <t>Dexter Newman</t>
  </si>
  <si>
    <t>Quintin Kemish</t>
  </si>
  <si>
    <t>Angel Davall</t>
  </si>
  <si>
    <t>Archie Tomlinson</t>
  </si>
  <si>
    <t>Matthew Elkin</t>
  </si>
  <si>
    <t>Elijah Beswick</t>
  </si>
  <si>
    <t>Rebecca Venables</t>
  </si>
  <si>
    <t>Ella Cundy</t>
  </si>
  <si>
    <t>Bethany Fereday</t>
  </si>
  <si>
    <t>Amber Smith</t>
  </si>
  <si>
    <t>FUSION</t>
  </si>
  <si>
    <t>Evie Mccracken</t>
  </si>
  <si>
    <t>Sophie Moss</t>
  </si>
  <si>
    <t>Shalika Ambersley</t>
  </si>
  <si>
    <t>Evie Macmillan</t>
  </si>
  <si>
    <t>Chyla Mckenzie</t>
  </si>
  <si>
    <t>Finlay Lewis</t>
  </si>
  <si>
    <t>Ethan Lewis</t>
  </si>
  <si>
    <t xml:space="preserve">CITY OF STOKE </t>
  </si>
  <si>
    <t>BEG 9YRS &amp; UNDER BOYS</t>
  </si>
  <si>
    <t>BEG 9YRS &amp; UNDER GIRLS</t>
  </si>
  <si>
    <t>Aditya Krishnadas</t>
  </si>
  <si>
    <t>BEG 11YRS &amp; UNDER BOYS</t>
  </si>
  <si>
    <t>BEG 11YRS &amp; UNDER GIRLS</t>
  </si>
  <si>
    <t>BEG 13YRS &amp; UNDER BOYS</t>
  </si>
  <si>
    <t>BEG 13YRS &amp; UNDER GIRLS</t>
  </si>
  <si>
    <t>BEG 15YRS &amp; UNDER GIRLS</t>
  </si>
  <si>
    <t>INT 9YRS &amp; UNDER BOYS</t>
  </si>
  <si>
    <t>INT 9YRS &amp; UNDER GIRLS</t>
  </si>
  <si>
    <t>INT 11YRS &amp; UNDER BOYS</t>
  </si>
  <si>
    <t>INT 11YRS &amp; UNDER GIRLS</t>
  </si>
  <si>
    <t>INT 13YRS &amp; UNDER BOYS</t>
  </si>
  <si>
    <t>INT 13YRS &amp; UNDER GIRLS</t>
  </si>
  <si>
    <t>INT 15YRS &amp; UNDER GIRLS</t>
  </si>
  <si>
    <t>INT 16YRS &amp; ABOVE LADIES</t>
  </si>
  <si>
    <t>ADV 9YRS &amp; UNDER BOYS</t>
  </si>
  <si>
    <t>ADV 9YRS &amp; UNDER GIRLS</t>
  </si>
  <si>
    <t>ADV 11YRS &amp; UNDER BOYS</t>
  </si>
  <si>
    <t>ADV 11YRS &amp; UNDER GIRLS</t>
  </si>
  <si>
    <t>ADV 13YRS &amp; UNDER BOYS</t>
  </si>
  <si>
    <t>ADV 13YRS &amp; UNDER GIRLS</t>
  </si>
  <si>
    <t>ADV 15YRS &amp; UNDER BOYS</t>
  </si>
  <si>
    <t>ADV 15YRS &amp; UNDER GIRLS</t>
  </si>
  <si>
    <t>ADV 16YRS &amp; ABOVE LADIES</t>
  </si>
  <si>
    <t>BEG 16YRS &amp; ABOVE LADIES</t>
  </si>
  <si>
    <t>BEG 11YRS &amp; UNDER MIXED</t>
  </si>
  <si>
    <t>BROMS</t>
  </si>
  <si>
    <t>INT 16YRS &amp; ABOVE MIXED</t>
  </si>
  <si>
    <t>Aleiha Morris</t>
  </si>
  <si>
    <t>Millie Ashton</t>
  </si>
  <si>
    <t>Honey Kelly</t>
  </si>
  <si>
    <t>Teigan Taylor</t>
  </si>
  <si>
    <t>Ruby Sagar</t>
  </si>
  <si>
    <t>Anya Searle</t>
  </si>
  <si>
    <t>Madeleine Chance</t>
  </si>
  <si>
    <t>Oscar Rees</t>
  </si>
  <si>
    <t>Georgia Penn-Ashman</t>
  </si>
  <si>
    <t>Lily Paice</t>
  </si>
  <si>
    <t>Isobel Miskin</t>
  </si>
  <si>
    <t>Lucas Copeland</t>
  </si>
  <si>
    <t>Eve Bird</t>
  </si>
  <si>
    <t>Ella Bradshaw</t>
  </si>
  <si>
    <t>Isabella Stout</t>
  </si>
  <si>
    <t>Annie Williams</t>
  </si>
  <si>
    <t>Rebekah Bakewell</t>
  </si>
  <si>
    <t>Tegan Powell</t>
  </si>
  <si>
    <t>Emma Beaman</t>
  </si>
  <si>
    <t>ADV 11YRS &amp; UNDER MIXED</t>
  </si>
  <si>
    <t xml:space="preserve">FLYTE GYMNASTICS </t>
  </si>
  <si>
    <t>Janina Everard</t>
  </si>
  <si>
    <t>Calum Whatling</t>
  </si>
  <si>
    <t>Megan Cochrane</t>
  </si>
  <si>
    <t>Grace Bradley</t>
  </si>
  <si>
    <t>Lacey-Jayne Glasgow</t>
  </si>
  <si>
    <t>Leah Azzopardi</t>
  </si>
  <si>
    <t>SOLIHULL OLYMPIC GYMNASTICS CLUB</t>
  </si>
  <si>
    <t>Kaili Woodward</t>
  </si>
  <si>
    <t>Lois Mansfield</t>
  </si>
  <si>
    <t>UTTOXETER FALCONS</t>
  </si>
  <si>
    <t>UTTOXETER GYMNASTICS CLUB</t>
  </si>
  <si>
    <t>UTTOXETER NAVY</t>
  </si>
  <si>
    <t>UTTOXETER TURQUOISE</t>
  </si>
  <si>
    <t xml:space="preserve">UTTOXETER NAVY </t>
  </si>
  <si>
    <t>Ellie Langford</t>
  </si>
  <si>
    <t>Leonardo Masi</t>
  </si>
  <si>
    <t>Ben Mozley</t>
  </si>
  <si>
    <t>Maximilian Webber</t>
  </si>
  <si>
    <t>Bella Randles</t>
  </si>
  <si>
    <t>Poppy Bettaney</t>
  </si>
  <si>
    <t>Claudia Boulton</t>
  </si>
  <si>
    <t>Isabelle Forrester</t>
  </si>
  <si>
    <t>Lily Goodfellow</t>
  </si>
  <si>
    <t>Darcie Wilson</t>
  </si>
  <si>
    <t>Cliona Griffin</t>
  </si>
  <si>
    <t>Keely Taylor</t>
  </si>
  <si>
    <t>Alexia Rushby</t>
  </si>
  <si>
    <t>Molly Edwards</t>
  </si>
  <si>
    <t>Tabitha Easterlow</t>
  </si>
  <si>
    <t>Skye Chilton</t>
  </si>
  <si>
    <t>Grace Odell</t>
  </si>
  <si>
    <t>Kaiden Thomas</t>
  </si>
  <si>
    <t>William Smith</t>
  </si>
  <si>
    <t>Jack Cowie</t>
  </si>
  <si>
    <t>Zane Browning</t>
  </si>
  <si>
    <t>WYTHALL GYMNASTICS CLUB B</t>
  </si>
  <si>
    <t>Isaac Calic</t>
  </si>
  <si>
    <t>Charlie Wright</t>
  </si>
  <si>
    <t>Grace Donnan</t>
  </si>
  <si>
    <t>Megan O'Reilly</t>
  </si>
  <si>
    <t>Harley Middleton</t>
  </si>
  <si>
    <t>Gabrielle Cutler</t>
  </si>
  <si>
    <t>Ayva Horton</t>
  </si>
  <si>
    <t xml:space="preserve">WYTHALL GYMNASTICS CLUB </t>
  </si>
  <si>
    <t>Danny Thompson</t>
  </si>
  <si>
    <t>Samuel Nouhov</t>
  </si>
  <si>
    <t>Carter Wilson</t>
  </si>
  <si>
    <t>Georgia  Ryan</t>
  </si>
  <si>
    <t>Charlie Rider-Forman</t>
  </si>
  <si>
    <t>Ciara  Corcoran</t>
  </si>
  <si>
    <t>Corey Allen</t>
  </si>
  <si>
    <t>Eoin Bell</t>
  </si>
  <si>
    <t>Dylan Burbridge</t>
  </si>
  <si>
    <t>Bradley Hancock</t>
  </si>
  <si>
    <t>Eathan Downes</t>
  </si>
  <si>
    <t>Ben Livingstone</t>
  </si>
  <si>
    <t>Sophie Calvert</t>
  </si>
  <si>
    <t>BIDD</t>
  </si>
  <si>
    <t>WYTHALL GC A</t>
  </si>
  <si>
    <t>WYTHALL GC B</t>
  </si>
  <si>
    <t xml:space="preserve">WYTHALL GC </t>
  </si>
  <si>
    <t>SOLIHULL OGC</t>
  </si>
  <si>
    <t>WYTHALL GC</t>
  </si>
  <si>
    <t xml:space="preserve">UTTOXETER GC </t>
  </si>
  <si>
    <t>FLYTE</t>
  </si>
  <si>
    <t>NUNEA</t>
  </si>
  <si>
    <t>Holly Khanna</t>
  </si>
  <si>
    <t>Saphia Cox</t>
  </si>
  <si>
    <t>Molly Thompson</t>
  </si>
  <si>
    <t>AIRBORNE GC</t>
  </si>
  <si>
    <t>Emily Tonks</t>
  </si>
  <si>
    <t xml:space="preserve">BIDDULPH VALLEY GYMNASTICS CLUB </t>
  </si>
  <si>
    <t xml:space="preserve">BLOXWICH GYMNASTICS CLUB </t>
  </si>
  <si>
    <t>Abbey Hargreaves</t>
  </si>
  <si>
    <t>Megan Hall</t>
  </si>
  <si>
    <t>Emily Bowles</t>
  </si>
  <si>
    <t>BLOX</t>
  </si>
  <si>
    <t>Grace Hughes</t>
  </si>
  <si>
    <t>Shaunice Duquesnay</t>
  </si>
  <si>
    <t>Maddison Downs</t>
  </si>
  <si>
    <t>Faith Jackson</t>
  </si>
  <si>
    <t>Saskia Thompson</t>
  </si>
  <si>
    <t xml:space="preserve">Madison Stokes </t>
  </si>
  <si>
    <t>Ellesse Rowbotham</t>
  </si>
  <si>
    <t>Olivia Corbett</t>
  </si>
  <si>
    <t>BLOXWICH GYMNASTICS CLUB A</t>
  </si>
  <si>
    <t>Freya Jackson</t>
  </si>
  <si>
    <t>Madison Barnard</t>
  </si>
  <si>
    <t>Stevie-Jo Andrews</t>
  </si>
  <si>
    <t>Ruby Jones</t>
  </si>
  <si>
    <t>Ruby Halls</t>
  </si>
  <si>
    <t>BLOXWICH GYMNASTICS CLUB B</t>
  </si>
  <si>
    <t>BROMSGROVE GYMNASTICS CLUB PURPLE</t>
  </si>
  <si>
    <t>BROMSGROVE GYMNASTICS CLUB BLACK</t>
  </si>
  <si>
    <t xml:space="preserve">BROMSGROVE GYMNASTICS CLUB </t>
  </si>
  <si>
    <t>George Moore</t>
  </si>
  <si>
    <t>Toby Hickman-Smith</t>
  </si>
  <si>
    <t>Jamie Mckenna-Hobley</t>
  </si>
  <si>
    <t>Callum Hobbs</t>
  </si>
  <si>
    <t>Jed Fairhurst</t>
  </si>
  <si>
    <t>Natasha John</t>
  </si>
  <si>
    <t>Jessica Preston-Hunt</t>
  </si>
  <si>
    <t>Constance Waddell</t>
  </si>
  <si>
    <t>Lauren Lomas</t>
  </si>
  <si>
    <t>Ella Coates</t>
  </si>
  <si>
    <t>Abigail Hannaford</t>
  </si>
  <si>
    <t>Leah Paice</t>
  </si>
  <si>
    <t>Poppy Fownes</t>
  </si>
  <si>
    <t>Isabella Davies</t>
  </si>
  <si>
    <t>Emily Howell</t>
  </si>
  <si>
    <t>Thomas Statham</t>
  </si>
  <si>
    <t>Aiden Hare</t>
  </si>
  <si>
    <t>CITY OF STOKE B</t>
  </si>
  <si>
    <t>Isabel Ellsmore</t>
  </si>
  <si>
    <t>Jessica Copeland</t>
  </si>
  <si>
    <t>Maisie Kelly</t>
  </si>
  <si>
    <t>Isabella Aw</t>
  </si>
  <si>
    <t>Ellie Foxhall</t>
  </si>
  <si>
    <t>Isabella Lacey</t>
  </si>
  <si>
    <t>Emma Pilling</t>
  </si>
  <si>
    <t>Rose Baker</t>
  </si>
  <si>
    <t>CITY OF WORCESTER GYMNASTICS CLUB A</t>
  </si>
  <si>
    <t>CITY OF WORCESTER GYMNASTICS CLUB B</t>
  </si>
  <si>
    <t>Hattien Duke</t>
  </si>
  <si>
    <t>Harry Long</t>
  </si>
  <si>
    <t>Millie Barker</t>
  </si>
  <si>
    <t>Abigail Smedley</t>
  </si>
  <si>
    <t>Josie Pheasant</t>
  </si>
  <si>
    <t>Aimee Mason</t>
  </si>
  <si>
    <t>Hannah Greenbrook</t>
  </si>
  <si>
    <t>Isabelle Corfield</t>
  </si>
  <si>
    <t>Emily Russell</t>
  </si>
  <si>
    <t>Alice Price</t>
  </si>
  <si>
    <t>Jasmine Crawford</t>
  </si>
  <si>
    <t>Sienna Miller</t>
  </si>
  <si>
    <t>Poppie Wilkes</t>
  </si>
  <si>
    <t xml:space="preserve">CITY OF WORCESTER GYMNASTICS CLUB  </t>
  </si>
  <si>
    <t>Tansy Blakely</t>
  </si>
  <si>
    <t>Elise Frostman-Clarke</t>
  </si>
  <si>
    <t>Thomas Egerton</t>
  </si>
  <si>
    <t xml:space="preserve">COLESHILL GYMNASTICS CLUB </t>
  </si>
  <si>
    <t>Darcy O'Leary</t>
  </si>
  <si>
    <t>Abbie Oakley</t>
  </si>
  <si>
    <t>COLES</t>
  </si>
  <si>
    <t>Summer Garey</t>
  </si>
  <si>
    <t>Kimberley Green</t>
  </si>
  <si>
    <t xml:space="preserve">COVENTRY EMPIRE GYMNASTICS ACADEMY </t>
  </si>
  <si>
    <t>Maddison Black</t>
  </si>
  <si>
    <t>COVEM</t>
  </si>
  <si>
    <t>Nia Wambui Rakim</t>
  </si>
  <si>
    <t>Lily Elms</t>
  </si>
  <si>
    <t>Evangeline Upstone-Wells</t>
  </si>
  <si>
    <t>Cate Stewart-Winters</t>
  </si>
  <si>
    <t>Amelia Van Ristell Hall</t>
  </si>
  <si>
    <t>Angelina Janovica</t>
  </si>
  <si>
    <t>Millie Price</t>
  </si>
  <si>
    <t>Kaycee McCafferty</t>
  </si>
  <si>
    <t>Eleanor Prime</t>
  </si>
  <si>
    <t>Sophie Iley</t>
  </si>
  <si>
    <t>Vlad Galuzo</t>
  </si>
  <si>
    <t>Evelyn Kennedy</t>
  </si>
  <si>
    <t>ERDINGTON GYM CLUB</t>
  </si>
  <si>
    <t>Abigail Fox</t>
  </si>
  <si>
    <t>Rosie Haynes</t>
  </si>
  <si>
    <t>Isabelle Simpson</t>
  </si>
  <si>
    <t>Katie Lippitt</t>
  </si>
  <si>
    <t>Indya Ashburn</t>
  </si>
  <si>
    <t>Lea Copti</t>
  </si>
  <si>
    <t>Madison Marler</t>
  </si>
  <si>
    <t>ERDINGTON GYM CLUB BLUE</t>
  </si>
  <si>
    <t>ERDINGTON GYM CLUB PURPLE</t>
  </si>
  <si>
    <t>Lucy Aslam</t>
  </si>
  <si>
    <t>Amaya Flanders</t>
  </si>
  <si>
    <t>Alexandra Jones</t>
  </si>
  <si>
    <t>Asha Maxwell</t>
  </si>
  <si>
    <t>Abigail Marler</t>
  </si>
  <si>
    <t>Ellie Summerfield</t>
  </si>
  <si>
    <t>Amber Exton</t>
  </si>
  <si>
    <t>Amy Jones</t>
  </si>
  <si>
    <t>Simi Gordhan</t>
  </si>
  <si>
    <t>Chloe Pike</t>
  </si>
  <si>
    <t>Priscilla Copti</t>
  </si>
  <si>
    <t>Erin Combellack</t>
  </si>
  <si>
    <t>Libby Whelan</t>
  </si>
  <si>
    <t>Louisa Powers</t>
  </si>
  <si>
    <t>Sophie Gorman</t>
  </si>
  <si>
    <t>Abigail Morrison</t>
  </si>
  <si>
    <t>Gracie-Mae Bowen</t>
  </si>
  <si>
    <t>Caitlin George</t>
  </si>
  <si>
    <t>Libby McKenna</t>
  </si>
  <si>
    <t>Abbie Worrall</t>
  </si>
  <si>
    <t>Olivia Hobday</t>
  </si>
  <si>
    <t>ERDINGTON GYM CLUB YELLOW</t>
  </si>
  <si>
    <t>Teigan Woodward</t>
  </si>
  <si>
    <t>Isobel Radford</t>
  </si>
  <si>
    <t>Ellis Fowler</t>
  </si>
  <si>
    <t>Chelsea Wyatt</t>
  </si>
  <si>
    <t>Savannah Miller</t>
  </si>
  <si>
    <t>Alyssia Wayt</t>
  </si>
  <si>
    <t>Grace Evans</t>
  </si>
  <si>
    <t>Grace Mccreadie</t>
  </si>
  <si>
    <t>Sky Pedro-Ward</t>
  </si>
  <si>
    <t>Lucy Ellis</t>
  </si>
  <si>
    <t>Alexandra Hastings</t>
  </si>
  <si>
    <t>Macey Dawes</t>
  </si>
  <si>
    <t xml:space="preserve">FUSION GC </t>
  </si>
  <si>
    <t>Carly Simms</t>
  </si>
  <si>
    <t>Erin Jeremy</t>
  </si>
  <si>
    <t>Ellie Beddows</t>
  </si>
  <si>
    <t>Niamh Bracken</t>
  </si>
  <si>
    <t>Ella Dougan</t>
  </si>
  <si>
    <t>FUSION GC</t>
  </si>
  <si>
    <t>Katie Evans</t>
  </si>
  <si>
    <t>Marvinder Kang</t>
  </si>
  <si>
    <t>INT 9YRS &amp; UNDER MIXED</t>
  </si>
  <si>
    <t>Luke Panton</t>
  </si>
  <si>
    <t>Tegan Harmer</t>
  </si>
  <si>
    <t>Stacey Bates</t>
  </si>
  <si>
    <t>Poppy Herdman</t>
  </si>
  <si>
    <t>Keira James</t>
  </si>
  <si>
    <t>Abigail Sellwood</t>
  </si>
  <si>
    <t>Keira Sutton</t>
  </si>
  <si>
    <t>Yasmin Smith</t>
  </si>
  <si>
    <t>Lewis Wilton</t>
  </si>
  <si>
    <t>Leo Robson-Williams</t>
  </si>
  <si>
    <t>Dillon Morrey</t>
  </si>
  <si>
    <t>Stephanie Walker</t>
  </si>
  <si>
    <t>Rebecca Walker</t>
  </si>
  <si>
    <t>Evan Wilton</t>
  </si>
  <si>
    <t>Harry Oliver</t>
  </si>
  <si>
    <t>REVOLUTION GYMNASTICS CLUB</t>
  </si>
  <si>
    <t>Emily Dove</t>
  </si>
  <si>
    <t>Yasmin Ilyas</t>
  </si>
  <si>
    <t>REV</t>
  </si>
  <si>
    <t>Sasha Hourigan</t>
  </si>
  <si>
    <t>Simran Saroya-Watson</t>
  </si>
  <si>
    <t>Navneet Phull</t>
  </si>
  <si>
    <t>Erin Onions</t>
  </si>
  <si>
    <t>Katie King</t>
  </si>
  <si>
    <t>REVOLUTION GC</t>
  </si>
  <si>
    <t>Callum Finan</t>
  </si>
  <si>
    <t>Hannah Coates</t>
  </si>
  <si>
    <t>Isabelle Stanway</t>
  </si>
  <si>
    <t>Jessica Deeks</t>
  </si>
  <si>
    <t>Bethan Williams</t>
  </si>
  <si>
    <t>Agatha Tanasa</t>
  </si>
  <si>
    <t>Claire Stock</t>
  </si>
  <si>
    <t>Julia Stock</t>
  </si>
  <si>
    <t>Jared Hubble</t>
  </si>
  <si>
    <t>Hayden Stocker</t>
  </si>
  <si>
    <t>James Rowe</t>
  </si>
  <si>
    <t>Billy Vipond</t>
  </si>
  <si>
    <t>Esme Abraham</t>
  </si>
  <si>
    <t>Beatrice Scholefield</t>
  </si>
  <si>
    <t>Poppy Couzens</t>
  </si>
  <si>
    <t>Erin Norman</t>
  </si>
  <si>
    <t>Greg Robinson</t>
  </si>
  <si>
    <t>REVOLUTION GYMNASTICS CLUB A</t>
  </si>
  <si>
    <t>REVOLUTION GYMNASTICS CLUB B</t>
  </si>
  <si>
    <t>Jodie Harrison</t>
  </si>
  <si>
    <t>Imogen Green</t>
  </si>
  <si>
    <t>Madison Levy</t>
  </si>
  <si>
    <t>Megan Forster</t>
  </si>
  <si>
    <t>Caitlin Norman</t>
  </si>
  <si>
    <t>Scarlett Ryley</t>
  </si>
  <si>
    <t>Jessica Millington</t>
  </si>
  <si>
    <t>Drew Clarke</t>
  </si>
  <si>
    <t>Erin Field</t>
  </si>
  <si>
    <t>Ellie Garfield</t>
  </si>
  <si>
    <t>INT 15YRS &amp; UNDER BOYS</t>
  </si>
  <si>
    <t>Grady Clarke</t>
  </si>
  <si>
    <t>Leon Daly</t>
  </si>
  <si>
    <t>Daniel Horton</t>
  </si>
  <si>
    <t>Ruth Carey</t>
  </si>
  <si>
    <t>Tegan Smith</t>
  </si>
  <si>
    <t>Tessa Stirling</t>
  </si>
  <si>
    <t>Zarin Vandriwala</t>
  </si>
  <si>
    <t>Jessica Witcomb</t>
  </si>
  <si>
    <t>INT 16YRS &amp; ABOVE MEN</t>
  </si>
  <si>
    <t>Ben Tanner</t>
  </si>
  <si>
    <t>Benjamin Wise</t>
  </si>
  <si>
    <t>Michael Carson</t>
  </si>
  <si>
    <t>Rohan Levy</t>
  </si>
  <si>
    <t>Matthew Thomas</t>
  </si>
  <si>
    <t>Olivier Martin-Panther</t>
  </si>
  <si>
    <t>Kian Brennan</t>
  </si>
  <si>
    <t>Oliver Powell</t>
  </si>
  <si>
    <t>Maylayah Jay</t>
  </si>
  <si>
    <t>Keilan Banning-Price</t>
  </si>
  <si>
    <t>Florence Jee</t>
  </si>
  <si>
    <t>Jessica Barnett</t>
  </si>
  <si>
    <t>Jessica Cartwright</t>
  </si>
  <si>
    <t xml:space="preserve">SEVERN GYMNASTICS &amp; TRAMPOLINE CLUB </t>
  </si>
  <si>
    <t>Erin Johnston</t>
  </si>
  <si>
    <t>Mae Sharp</t>
  </si>
  <si>
    <t>Grace Winter</t>
  </si>
  <si>
    <t>SEVERN</t>
  </si>
  <si>
    <t>Chloe Pawlowski</t>
  </si>
  <si>
    <t>Isobel Ellis</t>
  </si>
  <si>
    <t>Katie Pattison</t>
  </si>
  <si>
    <t>Emma Pattison</t>
  </si>
  <si>
    <t>Mya Orme</t>
  </si>
  <si>
    <t>Immogen Walker</t>
  </si>
  <si>
    <t>Mia Carroll</t>
  </si>
  <si>
    <t>Maya Vadukul</t>
  </si>
  <si>
    <t>Elise Pajon</t>
  </si>
  <si>
    <t>Anna Girling</t>
  </si>
  <si>
    <t>Rhoanna Goulding</t>
  </si>
  <si>
    <t>Emily Smith</t>
  </si>
  <si>
    <t>Layla Mcmanus</t>
  </si>
  <si>
    <t>UTTOXETER HARRIERS</t>
  </si>
  <si>
    <t>Jacob Wray</t>
  </si>
  <si>
    <t>Lucas Richards</t>
  </si>
  <si>
    <t>Gethin Richards</t>
  </si>
  <si>
    <t>Zhane Easter</t>
  </si>
  <si>
    <t>Alfie Wild</t>
  </si>
  <si>
    <t>Connor Stevenson</t>
  </si>
  <si>
    <t>Freddie Booth</t>
  </si>
  <si>
    <t>Jaymee East</t>
  </si>
  <si>
    <t>Bethan Dodd</t>
  </si>
  <si>
    <t>Amelia Roberts</t>
  </si>
  <si>
    <t>Zara Shenton</t>
  </si>
  <si>
    <t>Grace Bridgett</t>
  </si>
  <si>
    <t>Celia Davies</t>
  </si>
  <si>
    <t>WOLVERHAMPTON BLUE</t>
  </si>
  <si>
    <t>WOLVERHAMPTON GREEN</t>
  </si>
  <si>
    <t>WOLVERHAMPTON RED</t>
  </si>
  <si>
    <t>Rebecca Davies</t>
  </si>
  <si>
    <t>Sophie Francis</t>
  </si>
  <si>
    <t>Jessica Drew</t>
  </si>
  <si>
    <t>Evie Maiden</t>
  </si>
  <si>
    <t>Amelie Knight</t>
  </si>
  <si>
    <t>Sophie Watkins</t>
  </si>
  <si>
    <t>Esme Baines</t>
  </si>
  <si>
    <t>Alicia Fereday</t>
  </si>
  <si>
    <t>Sophie Fereday</t>
  </si>
  <si>
    <t>Megan Lown</t>
  </si>
  <si>
    <t>Kimberley Rogers</t>
  </si>
  <si>
    <t>Ella Rose Garratt</t>
  </si>
  <si>
    <t>Emma Daymond</t>
  </si>
  <si>
    <t>Rebekah Lyndon</t>
  </si>
  <si>
    <t>Grace Fidoe</t>
  </si>
  <si>
    <t>Niamh Kelly</t>
  </si>
  <si>
    <t>Amie Garside</t>
  </si>
  <si>
    <t>Sophie Fellows</t>
  </si>
  <si>
    <t>Column1</t>
  </si>
  <si>
    <t>Column2</t>
  </si>
  <si>
    <t>Darcy McKeown</t>
  </si>
  <si>
    <t>Poppy Wilson</t>
  </si>
  <si>
    <t>Mia Browning</t>
  </si>
  <si>
    <t>Megan Gaynor</t>
  </si>
  <si>
    <t>Evie Downes</t>
  </si>
  <si>
    <t>ADV 13YRS &amp; UNDER MIXED</t>
  </si>
  <si>
    <t>WYTHALL GYMNASTICS CLUB</t>
  </si>
  <si>
    <t>Rebecca Robinson</t>
  </si>
  <si>
    <t>ADV 15YRS &amp; UNDER MIXED</t>
  </si>
  <si>
    <t>Holly Thomas</t>
  </si>
  <si>
    <t>Laura Calvert</t>
  </si>
  <si>
    <t>Chloe Warr</t>
  </si>
  <si>
    <t>Jasmine Latham</t>
  </si>
  <si>
    <t>Alice Howarth</t>
  </si>
  <si>
    <t>Holly Owen</t>
  </si>
  <si>
    <t>Tom Lyndon</t>
  </si>
  <si>
    <t>Eve Freeman</t>
  </si>
  <si>
    <t>Yasmin Daymond</t>
  </si>
  <si>
    <t>Lydia Hodge</t>
  </si>
  <si>
    <t>Nicole Rogers</t>
  </si>
  <si>
    <t>Anna Seagrave-Blanks</t>
  </si>
  <si>
    <t>Isobel Cooper</t>
  </si>
  <si>
    <t>Ayla Goucher</t>
  </si>
  <si>
    <t>DISABILITY</t>
  </si>
  <si>
    <t>Sophie Tanner</t>
  </si>
  <si>
    <t>Allan Marston</t>
  </si>
  <si>
    <t>Daniel Hare</t>
  </si>
  <si>
    <t>Jacob Walsh</t>
  </si>
  <si>
    <t>Holly Riseborough</t>
  </si>
  <si>
    <t>Emily Crilly</t>
  </si>
  <si>
    <t>COVENTRY EMPIRE</t>
  </si>
  <si>
    <t>Shona O'Keefe</t>
  </si>
  <si>
    <t>BLOXWICH GC B</t>
  </si>
  <si>
    <t>ERDINGTON GC VIOLET</t>
  </si>
  <si>
    <t>REVOLUTION GC A</t>
  </si>
  <si>
    <t>REVOLUTION GC B</t>
  </si>
  <si>
    <t xml:space="preserve">REVOLUTION GC </t>
  </si>
  <si>
    <t xml:space="preserve">ERDINGTON GC </t>
  </si>
  <si>
    <t>ERDINGTON GC YELLOW</t>
  </si>
  <si>
    <t>BLOXWICH GC</t>
  </si>
  <si>
    <t>ERDINGTON GC BLUE</t>
  </si>
  <si>
    <t>Ella Meroz</t>
  </si>
  <si>
    <t>BLOXWICH GC A</t>
  </si>
  <si>
    <t>BROMSGROVE PURPLE</t>
  </si>
  <si>
    <t>BROMSGROVE BLACK</t>
  </si>
  <si>
    <t xml:space="preserve">CITY OF WORCESTER </t>
  </si>
  <si>
    <t xml:space="preserve">BIDDULPH VALLEY GC </t>
  </si>
  <si>
    <t>CITY OF WORCESTER A</t>
  </si>
  <si>
    <t>CITY OF WORCESTER B</t>
  </si>
  <si>
    <t>COLESHILL GC</t>
  </si>
  <si>
    <t>PARK WREKIN</t>
  </si>
  <si>
    <t>ERDINGTON GC PURPLE</t>
  </si>
  <si>
    <t>CITY OF WORCESTER</t>
  </si>
  <si>
    <t xml:space="preserve">CITY OF WORCESTER A </t>
  </si>
  <si>
    <t>SEVERN G&amp;TC</t>
  </si>
  <si>
    <t>UTTOXETER EAGLES</t>
  </si>
  <si>
    <t>UTTOXETER MERLINS</t>
  </si>
  <si>
    <t>REVOLUTION</t>
  </si>
  <si>
    <t>UTTOXETER</t>
  </si>
  <si>
    <t>BLOXWICH</t>
  </si>
  <si>
    <t>BROMSGROVE</t>
  </si>
  <si>
    <t>ERDINGTON</t>
  </si>
  <si>
    <t>TOP 10 TOTAL</t>
  </si>
  <si>
    <t>GYMFINITY</t>
  </si>
  <si>
    <t>CLUB RANKINGS</t>
  </si>
  <si>
    <t>SCORE</t>
  </si>
  <si>
    <t>BLOXWHICH</t>
  </si>
  <si>
    <t>WYTHALL</t>
  </si>
  <si>
    <t>CITY OF STOKE</t>
  </si>
  <si>
    <t>NUNEATON</t>
  </si>
  <si>
    <t>WOLVERHAMPTON</t>
  </si>
  <si>
    <t>WEST MIDLANDS GYMNASTICS FOR ALL GEORGE FINNEY CHAMPIONSHIPS 2017</t>
  </si>
  <si>
    <t>Sunday 12th March 2017  - Fenton Manor Sports Complex, Stoke-on-Trent</t>
  </si>
  <si>
    <t>AIRBORNE GYMNASTICS CLUB</t>
  </si>
  <si>
    <t>Amber Wynn</t>
  </si>
  <si>
    <t>Charlie Fennel</t>
  </si>
  <si>
    <t>Hannah Fleck</t>
  </si>
  <si>
    <t>Holly Sherwin</t>
  </si>
  <si>
    <t>AIRB</t>
  </si>
  <si>
    <t>Emily Barber</t>
  </si>
  <si>
    <t>Millie Pigg</t>
  </si>
  <si>
    <t>Harriet Davies</t>
  </si>
  <si>
    <t>Caitlin Hand</t>
  </si>
  <si>
    <t>Anya Talbot</t>
  </si>
  <si>
    <t>Elloise Elizabeth Jevons</t>
  </si>
  <si>
    <t>Pola Kowalczyk</t>
  </si>
  <si>
    <t>Aphiah Holland</t>
  </si>
  <si>
    <t>Lily Davies</t>
  </si>
  <si>
    <t>Martha Dyson</t>
  </si>
  <si>
    <t>Freya Davies</t>
  </si>
  <si>
    <t>Millie Roberts</t>
  </si>
  <si>
    <t>Thomas Daniels</t>
  </si>
  <si>
    <t>Isaac Lewis</t>
  </si>
  <si>
    <t>Edward Towers</t>
  </si>
  <si>
    <t>Joey Dimmack</t>
  </si>
  <si>
    <t>Ava Wragg</t>
  </si>
  <si>
    <t>Sandy Blando</t>
  </si>
  <si>
    <t>Savannah Brindley</t>
  </si>
  <si>
    <t>Yasmin Morris</t>
  </si>
  <si>
    <t>Lucy Mae Johnson</t>
  </si>
  <si>
    <t>Niamh Knapper</t>
  </si>
  <si>
    <t>BIDDULPH VALLEY GYMNASTICS CLUB RED</t>
  </si>
  <si>
    <t>BIDDULPH VALLEY GYMNASTICS CLUB YELLOW</t>
  </si>
  <si>
    <t>Kayleigh Fletcher</t>
  </si>
  <si>
    <t>Gabriella Shaw</t>
  </si>
  <si>
    <t>Alanis Brown</t>
  </si>
  <si>
    <t>Esme Hopkinson</t>
  </si>
  <si>
    <t>Olivia Brown</t>
  </si>
  <si>
    <t>Sophie Sproston</t>
  </si>
  <si>
    <t>Maisie Walker</t>
  </si>
  <si>
    <t>Lucy Berry</t>
  </si>
  <si>
    <t>Summer-Joy Butler-Dodd-Thomson</t>
  </si>
  <si>
    <t>Isabella Squires</t>
  </si>
  <si>
    <t>Alys Broomhall</t>
  </si>
  <si>
    <t>Rhiannon Griffiths</t>
  </si>
  <si>
    <t>Sophie-Grace Nixon</t>
  </si>
  <si>
    <t>Daisy Woodroffe-Butcher</t>
  </si>
  <si>
    <t>Grace Medley</t>
  </si>
  <si>
    <t>Ruby Brookes</t>
  </si>
  <si>
    <t>Macey Cook</t>
  </si>
  <si>
    <t>BIRCHES VALLEY GYMNASTICS CLUB</t>
  </si>
  <si>
    <t>BIRCH</t>
  </si>
  <si>
    <t>Holly Nicholls</t>
  </si>
  <si>
    <t>Josie Oliver</t>
  </si>
  <si>
    <t>Abbie Tuddenham</t>
  </si>
  <si>
    <t>Laura Harvey-Jones</t>
  </si>
  <si>
    <t>Lauren Griffiths</t>
  </si>
  <si>
    <t>Charlotte Hatfield</t>
  </si>
  <si>
    <t>Georgia Atkinson</t>
  </si>
  <si>
    <t>Freya Bird</t>
  </si>
  <si>
    <t>Emily Grainger</t>
  </si>
  <si>
    <t>Emily Nelson</t>
  </si>
  <si>
    <t>Saffron Hyden</t>
  </si>
  <si>
    <t>Livia Williams</t>
  </si>
  <si>
    <t>Isabella Parkes</t>
  </si>
  <si>
    <t>Molly Stubbs</t>
  </si>
  <si>
    <t>Chloe Smith</t>
  </si>
  <si>
    <t>Leah Mcleod</t>
  </si>
  <si>
    <t>Amelia Harrison</t>
  </si>
  <si>
    <t>Libby Harding</t>
  </si>
  <si>
    <t>Summer Carter</t>
  </si>
  <si>
    <t>Sienna James</t>
  </si>
  <si>
    <t>Katie Bentley</t>
  </si>
  <si>
    <t>Olivia Shore</t>
  </si>
  <si>
    <t>Ava Hopley</t>
  </si>
  <si>
    <t>Staci Gilbert</t>
  </si>
  <si>
    <t>Kiera Sanders</t>
  </si>
  <si>
    <t>Emily Jones</t>
  </si>
  <si>
    <t>Ava Collins</t>
  </si>
  <si>
    <t>Katie Hobman</t>
  </si>
  <si>
    <t>Katie Aston</t>
  </si>
  <si>
    <t>Grace Howell</t>
  </si>
  <si>
    <t>Mia Holliday</t>
  </si>
  <si>
    <t>Lily Hayward</t>
  </si>
  <si>
    <t>Amber Foggin</t>
  </si>
  <si>
    <t>Molly Lunn</t>
  </si>
  <si>
    <t>Phoebe Rushton</t>
  </si>
  <si>
    <t>Mylo Fiorani</t>
  </si>
  <si>
    <t>Cameron John</t>
  </si>
  <si>
    <t>Georgie Hensey</t>
  </si>
  <si>
    <t>Kaitlin Tiffany</t>
  </si>
  <si>
    <t>Thea Ibidun</t>
  </si>
  <si>
    <t>Rebecca Tickle</t>
  </si>
  <si>
    <t>BEG 9 YRS &amp; UNDER MIXED</t>
  </si>
  <si>
    <t>Rhys John</t>
  </si>
  <si>
    <t>Callum Penn</t>
  </si>
  <si>
    <t>Isabella Gorton</t>
  </si>
  <si>
    <t>Kenzy Slade</t>
  </si>
  <si>
    <t>Lily Anne Thomas-Prescott</t>
  </si>
  <si>
    <t>Mia Hensey</t>
  </si>
  <si>
    <t>Annabelle James</t>
  </si>
  <si>
    <t>Isaac Bentley</t>
  </si>
  <si>
    <t>Brindley Jackson</t>
  </si>
  <si>
    <t>Sammie Wood</t>
  </si>
  <si>
    <t>ADV 16YRS &amp; ABOVE MEN</t>
  </si>
  <si>
    <t>Vinny Cormack</t>
  </si>
  <si>
    <t>Jack Forrester</t>
  </si>
  <si>
    <t>Louie Collins</t>
  </si>
  <si>
    <t>Mohammed Baig</t>
  </si>
  <si>
    <t>Archie Graham</t>
  </si>
  <si>
    <t>Thomas Bailey</t>
  </si>
  <si>
    <t>Adeeba Baig</t>
  </si>
  <si>
    <t>Daniel Besa</t>
  </si>
  <si>
    <t>Hadia Baig</t>
  </si>
  <si>
    <t>Kyle Gascoigne-Jones</t>
  </si>
  <si>
    <t>CITY OF STOKE GYM CLUB B</t>
  </si>
  <si>
    <t>CITY OF STOKE GYM CLUB C</t>
  </si>
  <si>
    <t xml:space="preserve">Ella Rose Lomas </t>
  </si>
  <si>
    <t xml:space="preserve">CITY OF STOKE GYM CLUB </t>
  </si>
  <si>
    <t>Ellie-Mae Berrisford</t>
  </si>
  <si>
    <t>Gracie Price</t>
  </si>
  <si>
    <t>Nathaniel Aw</t>
  </si>
  <si>
    <t>Joseph Bradshaw</t>
  </si>
  <si>
    <t>Reuben Burgess</t>
  </si>
  <si>
    <t>Daniel Bell</t>
  </si>
  <si>
    <t>Dylan Hunter</t>
  </si>
  <si>
    <t>Macauley Kwaitkowski</t>
  </si>
  <si>
    <t>Mischa Allen</t>
  </si>
  <si>
    <t>Ruby Holmes</t>
  </si>
  <si>
    <t>CITY OF WORCESTER GYMNASTICS CLUB</t>
  </si>
  <si>
    <t>Charlotte Harris</t>
  </si>
  <si>
    <t>WORCS</t>
  </si>
  <si>
    <t>Maddie Rollit</t>
  </si>
  <si>
    <t>Abbie Green</t>
  </si>
  <si>
    <t>Gina Smith</t>
  </si>
  <si>
    <t>Abigail Tyrrell</t>
  </si>
  <si>
    <t>David Burrow</t>
  </si>
  <si>
    <t>Grace Humphries</t>
  </si>
  <si>
    <t>Emma Bridge</t>
  </si>
  <si>
    <t>Alexia Jones</t>
  </si>
  <si>
    <t>Isabelle Fawcett</t>
  </si>
  <si>
    <t>Isabella Lyndon</t>
  </si>
  <si>
    <t>Anna Simpson</t>
  </si>
  <si>
    <t>Gemma Morgan</t>
  </si>
  <si>
    <t>Harriet Stones</t>
  </si>
  <si>
    <t xml:space="preserve">Molly Summerton </t>
  </si>
  <si>
    <t>Lucy Oconnor</t>
  </si>
  <si>
    <t>Millie Dobson</t>
  </si>
  <si>
    <t>Millie Davis</t>
  </si>
  <si>
    <t>Benjamin Mockford</t>
  </si>
  <si>
    <t>Madeline Wood</t>
  </si>
  <si>
    <t>Anya Harling</t>
  </si>
  <si>
    <t>Abigail Saunders</t>
  </si>
  <si>
    <t>Josie Way</t>
  </si>
  <si>
    <t>BEG 13YRS &amp; UNDER MIXED</t>
  </si>
  <si>
    <t>Joseph Lessimore</t>
  </si>
  <si>
    <t>Chelsea Probert</t>
  </si>
  <si>
    <t xml:space="preserve">CITY OF WORCESTER GYMNASTICS CLUB A </t>
  </si>
  <si>
    <t>Keeley Allen</t>
  </si>
  <si>
    <t>Libbi-Beth Philbrick</t>
  </si>
  <si>
    <t>Finella Field</t>
  </si>
  <si>
    <t>Milly Hemming</t>
  </si>
  <si>
    <t>Mae Blannin</t>
  </si>
  <si>
    <t>Beth Alldridge</t>
  </si>
  <si>
    <t>Sofia Lucas</t>
  </si>
  <si>
    <t>Bethan Crisp</t>
  </si>
  <si>
    <t>Evelyn Cardosa</t>
  </si>
  <si>
    <t>Olivia Southall</t>
  </si>
  <si>
    <t>Holly Hunt</t>
  </si>
  <si>
    <t>Grace Norris</t>
  </si>
  <si>
    <t>Amelia Clifford</t>
  </si>
  <si>
    <t>Erin Baker</t>
  </si>
  <si>
    <t>Chloe Marshall</t>
  </si>
  <si>
    <t>Alice Simpson</t>
  </si>
  <si>
    <t>COLESHILL GYMNASTICS CLUB</t>
  </si>
  <si>
    <t>Morgan Prince</t>
  </si>
  <si>
    <t xml:space="preserve">Apoorva Kalambettu </t>
  </si>
  <si>
    <t>Olivia Jones</t>
  </si>
  <si>
    <t>Mia Cross</t>
  </si>
  <si>
    <t>Milly Rotton</t>
  </si>
  <si>
    <t>Abbie Coley</t>
  </si>
  <si>
    <t>Phoebe-Jo Fowles</t>
  </si>
  <si>
    <t>COLESHILL GYMNASTICS CLUB GREEN</t>
  </si>
  <si>
    <t xml:space="preserve">COLESHILL GYMNASTICS CLUB BLUE </t>
  </si>
  <si>
    <t>Carys Orme</t>
  </si>
  <si>
    <t>Phoebe Bridges</t>
  </si>
  <si>
    <t xml:space="preserve">Taila Whatmore </t>
  </si>
  <si>
    <t xml:space="preserve">Alana Brown </t>
  </si>
  <si>
    <t>Lilia Yardley</t>
  </si>
  <si>
    <t>Savanna Leake</t>
  </si>
  <si>
    <t>Lola-Mae  Davis</t>
  </si>
  <si>
    <t xml:space="preserve">Charlie-Jo Rogers </t>
  </si>
  <si>
    <t>Leila Christie</t>
  </si>
  <si>
    <t>Eloise Anderson</t>
  </si>
  <si>
    <t>Mya Meroz</t>
  </si>
  <si>
    <t>Nora Szabo</t>
  </si>
  <si>
    <t>Hannah Furchel</t>
  </si>
  <si>
    <t>Deborah Adeniyi</t>
  </si>
  <si>
    <t>Matae-Nzara Mcintosh</t>
  </si>
  <si>
    <t>Abbey Burke</t>
  </si>
  <si>
    <t>Joseph Hall</t>
  </si>
  <si>
    <t>Kabelo Simela</t>
  </si>
  <si>
    <t>Anya Batavia</t>
  </si>
  <si>
    <t>Leah Oliver</t>
  </si>
  <si>
    <t>Sophie Constable</t>
  </si>
  <si>
    <t>Eloise White</t>
  </si>
  <si>
    <t>Letisha Watson</t>
  </si>
  <si>
    <t>Elmira Bahareva</t>
  </si>
  <si>
    <t>COVENTRY EMPIRE GYMNASTICS ACADEMY 1</t>
  </si>
  <si>
    <t>COVENTRY EMPIRE GYMNASTICS ACADEMY 2</t>
  </si>
  <si>
    <t>Bethan Edwards</t>
  </si>
  <si>
    <t>Amelia Klimowska</t>
  </si>
  <si>
    <t>Elsie Davidson</t>
  </si>
  <si>
    <t>Kacey Dhillon</t>
  </si>
  <si>
    <t>Maria Rogala</t>
  </si>
  <si>
    <t>Daria Bodziony</t>
  </si>
  <si>
    <t>Khadijah Gulnar Khan-Kheil</t>
  </si>
  <si>
    <t>Holly Billson</t>
  </si>
  <si>
    <t>Thea Bennett</t>
  </si>
  <si>
    <t>Emily Suchanska</t>
  </si>
  <si>
    <t>Courtney Blackbird</t>
  </si>
  <si>
    <t>Synthia Theuri</t>
  </si>
  <si>
    <t>Freya Cox</t>
  </si>
  <si>
    <t>Emily Billington</t>
  </si>
  <si>
    <t>ERDIN</t>
  </si>
  <si>
    <t>ERDINGTON GYM CLUB ORANGE</t>
  </si>
  <si>
    <t>Caitlin Sullivan</t>
  </si>
  <si>
    <t>Sofronia Barton</t>
  </si>
  <si>
    <t>Lyndsey Gibson-Bull</t>
  </si>
  <si>
    <t>Isabella Manton</t>
  </si>
  <si>
    <t>Lily Philpotts</t>
  </si>
  <si>
    <t>ERDINGTON GYM CLUB GREEN</t>
  </si>
  <si>
    <t>Beau Weir-Phillips</t>
  </si>
  <si>
    <t>Chloe Bryant</t>
  </si>
  <si>
    <t>Lola Weir-Phillips</t>
  </si>
  <si>
    <t>Isabella Rea</t>
  </si>
  <si>
    <t>Charlotte Taylor</t>
  </si>
  <si>
    <t>ERDINGTON GYM CLUB TURQUOISE</t>
  </si>
  <si>
    <t>ERDINGTON GYM CLUB VIOLET</t>
  </si>
  <si>
    <t>Megan Bradbury</t>
  </si>
  <si>
    <t>ERDINGTON GYM CLUB PINK</t>
  </si>
  <si>
    <t>Cerys Hipkiss</t>
  </si>
  <si>
    <t>Hallie Combellack</t>
  </si>
  <si>
    <t>Keeley Mccreadie</t>
  </si>
  <si>
    <t>Darcey Hodgins</t>
  </si>
  <si>
    <t>Primrose Hobday</t>
  </si>
  <si>
    <t>Cara Mcsheffrey</t>
  </si>
  <si>
    <t>Ellie Gibbs</t>
  </si>
  <si>
    <t>Mia Leonard</t>
  </si>
  <si>
    <t>Carys Kingdom</t>
  </si>
  <si>
    <t>Samantha Wrighting</t>
  </si>
  <si>
    <t>Lydia Hall</t>
  </si>
  <si>
    <t>Lottie Gower</t>
  </si>
  <si>
    <t>Georgie Swindle</t>
  </si>
  <si>
    <t>Elizabeth Martinez-Thompson</t>
  </si>
  <si>
    <t>Stephanie Scott</t>
  </si>
  <si>
    <t>Molly Rowell</t>
  </si>
  <si>
    <t>Nicola Hewins</t>
  </si>
  <si>
    <t>Alex Griffiths</t>
  </si>
  <si>
    <t>Sophie Reh</t>
  </si>
  <si>
    <t>Evie Sharp</t>
  </si>
  <si>
    <t>Francesca Pritchard</t>
  </si>
  <si>
    <t>Shannon Whelan</t>
  </si>
  <si>
    <t>Josie Reid</t>
  </si>
  <si>
    <t>Trinity Mander</t>
  </si>
  <si>
    <t>Keira Harris</t>
  </si>
  <si>
    <t>Nieve Blakemore</t>
  </si>
  <si>
    <t>Evie Smith</t>
  </si>
  <si>
    <t>Bethany Jones</t>
  </si>
  <si>
    <t>Millie-Jayne Revill</t>
  </si>
  <si>
    <t>Elena-Sofia Remero</t>
  </si>
  <si>
    <t>Freya Brennan</t>
  </si>
  <si>
    <t>Cate Mckechnie</t>
  </si>
  <si>
    <t>FUNDAMENTAL MOVEMENT ACADEMY</t>
  </si>
  <si>
    <t>Isabel Clarke</t>
  </si>
  <si>
    <t>Poppy Wisedale</t>
  </si>
  <si>
    <t>Dylan Mccall</t>
  </si>
  <si>
    <t>Oscar Poulton-Smyth</t>
  </si>
  <si>
    <t>Toby Green</t>
  </si>
  <si>
    <t>FUND</t>
  </si>
  <si>
    <t>Abigail Morris</t>
  </si>
  <si>
    <t>Grace Johnson</t>
  </si>
  <si>
    <t>Lola Hammond</t>
  </si>
  <si>
    <t>Grace Vaughan</t>
  </si>
  <si>
    <t>Mia Ruane</t>
  </si>
  <si>
    <t>Anaya Mckenna</t>
  </si>
  <si>
    <t>Gabrielle Mead-Wynne</t>
  </si>
  <si>
    <t>Niamh Lenihan</t>
  </si>
  <si>
    <t>Lacey May Browne</t>
  </si>
  <si>
    <t>Tiah Ribera</t>
  </si>
  <si>
    <t>Sidnie Hobbis</t>
  </si>
  <si>
    <t>Sophie Madden</t>
  </si>
  <si>
    <t>Yasmin Mccabe</t>
  </si>
  <si>
    <t>Porsha Davis</t>
  </si>
  <si>
    <t>Phoebe Farrington</t>
  </si>
  <si>
    <t>Angel Bateman</t>
  </si>
  <si>
    <t>Sophie Hill</t>
  </si>
  <si>
    <t>Depraya Hall</t>
  </si>
  <si>
    <t>Lilli-Mae Campbell</t>
  </si>
  <si>
    <t>Nicole Mccabe</t>
  </si>
  <si>
    <t>Evie Ward</t>
  </si>
  <si>
    <t>Libby Armstrong</t>
  </si>
  <si>
    <t>Zeyyan Saleh Dunkley</t>
  </si>
  <si>
    <t>Mia Jackson</t>
  </si>
  <si>
    <t>Sarah Adams</t>
  </si>
  <si>
    <t>Kizzie Field</t>
  </si>
  <si>
    <t>Imogen Jeavons</t>
  </si>
  <si>
    <t>Beth Burge</t>
  </si>
  <si>
    <t>Amelia Soffe</t>
  </si>
  <si>
    <t>Elsie Kenny</t>
  </si>
  <si>
    <t>Grace Clarke</t>
  </si>
  <si>
    <t>Sofia Saleh Dunkley</t>
  </si>
  <si>
    <t>GYMFINITY GYMNASTICS CLUB</t>
  </si>
  <si>
    <t>Maddie Jones</t>
  </si>
  <si>
    <t>GYMFIN</t>
  </si>
  <si>
    <t>Jessica Gears</t>
  </si>
  <si>
    <t>Charlie Craddock</t>
  </si>
  <si>
    <t>Thomas Oare</t>
  </si>
  <si>
    <t>Alexcey Reynolds</t>
  </si>
  <si>
    <t>Diez Parker-Gill</t>
  </si>
  <si>
    <t>Fearne Finnigan</t>
  </si>
  <si>
    <t>Lily Grace Rickus</t>
  </si>
  <si>
    <t xml:space="preserve">Freya Marchant </t>
  </si>
  <si>
    <t>Lola Clayton</t>
  </si>
  <si>
    <t>Lily-Mae White</t>
  </si>
  <si>
    <t>Lucas Miller</t>
  </si>
  <si>
    <t>Billy Jones</t>
  </si>
  <si>
    <t>Miley Dean</t>
  </si>
  <si>
    <t>Kendra Russell</t>
  </si>
  <si>
    <t>Poppy White</t>
  </si>
  <si>
    <t>Lexi White</t>
  </si>
  <si>
    <t>Nicole Beach</t>
  </si>
  <si>
    <t>Kira Patel</t>
  </si>
  <si>
    <t>Alice Parr</t>
  </si>
  <si>
    <t>JNB</t>
  </si>
  <si>
    <t>Neve Dawson</t>
  </si>
  <si>
    <t>Jessica Boak</t>
  </si>
  <si>
    <t>LEAMINGTON &amp; WARWICK GYMNASTICS CLUB</t>
  </si>
  <si>
    <t>Jessie Pride</t>
  </si>
  <si>
    <t>Maisie Collins</t>
  </si>
  <si>
    <t>Hannah Matthews</t>
  </si>
  <si>
    <t>Charlotte Ratley</t>
  </si>
  <si>
    <t>LEAMW</t>
  </si>
  <si>
    <t>Nathan Valente</t>
  </si>
  <si>
    <t>Joe Stevenson</t>
  </si>
  <si>
    <t>Keyon Byers</t>
  </si>
  <si>
    <t>Sanika Kane</t>
  </si>
  <si>
    <t>Eve Black</t>
  </si>
  <si>
    <t>Emma Howes</t>
  </si>
  <si>
    <t>Madeline Hill</t>
  </si>
  <si>
    <t>Archie Goodrem</t>
  </si>
  <si>
    <t>Abbie Lynch</t>
  </si>
  <si>
    <t>Millie Dixon</t>
  </si>
  <si>
    <t>May Stoneman</t>
  </si>
  <si>
    <t>Amelia Wiggin</t>
  </si>
  <si>
    <t>Jasmine Kay</t>
  </si>
  <si>
    <t>Eva Kruger</t>
  </si>
  <si>
    <t>Maisie Dixon</t>
  </si>
  <si>
    <t>Stella Burke</t>
  </si>
  <si>
    <t>Roxie Reader</t>
  </si>
  <si>
    <t>Serena Thomas</t>
  </si>
  <si>
    <t>Isabella Friend</t>
  </si>
  <si>
    <t>LEAMINGTON &amp; WARWICK GYMNASTICS CLUB BLUE</t>
  </si>
  <si>
    <t>LEAMINGTON &amp; WARWICK GYMNASTICS CLUB WHITE</t>
  </si>
  <si>
    <t>Anya Kruger</t>
  </si>
  <si>
    <t>Amelia Cox</t>
  </si>
  <si>
    <t>Elli Andrews</t>
  </si>
  <si>
    <t>Sophia Burke</t>
  </si>
  <si>
    <t>NUNEATON GYMNASTICS CLUB</t>
  </si>
  <si>
    <t>Joshua David Hall</t>
  </si>
  <si>
    <t>Arjun Bajwa</t>
  </si>
  <si>
    <t>Edward Jacobs</t>
  </si>
  <si>
    <t>Olivia Boneham</t>
  </si>
  <si>
    <t>Megan Mallabone</t>
  </si>
  <si>
    <t>Edie Rowstron</t>
  </si>
  <si>
    <t>Darcey Guslov-Hewitt</t>
  </si>
  <si>
    <t>Amelia Grabiec</t>
  </si>
  <si>
    <t>Emily Bulpitt</t>
  </si>
  <si>
    <t>NUNEATON GYMNASTICS CLUB 2</t>
  </si>
  <si>
    <t>NUNEATON GYMNASTICS CLUB 1</t>
  </si>
  <si>
    <t>Lucy Chatten</t>
  </si>
  <si>
    <t>Amelia Thomas</t>
  </si>
  <si>
    <t>Erin Divitt</t>
  </si>
  <si>
    <t>Charlotte Bulpitt</t>
  </si>
  <si>
    <t>Megan Willett</t>
  </si>
  <si>
    <t>Alanda Cowie</t>
  </si>
  <si>
    <t>Taylor Fletcher</t>
  </si>
  <si>
    <t>Freya Genner</t>
  </si>
  <si>
    <t>Macie Stephen</t>
  </si>
  <si>
    <t>Grace Stephen</t>
  </si>
  <si>
    <t xml:space="preserve">NUNEATON GYMNASTICS CLUB </t>
  </si>
  <si>
    <t>Sophie Beasley</t>
  </si>
  <si>
    <t>Grace Parsons</t>
  </si>
  <si>
    <t>Harriet Gilbert</t>
  </si>
  <si>
    <t>Caitland Ritchie</t>
  </si>
  <si>
    <t>Neneh Pollard</t>
  </si>
  <si>
    <t>Rosie  Royston</t>
  </si>
  <si>
    <t>Faith Freeman</t>
  </si>
  <si>
    <t>Izmae Dunkley</t>
  </si>
  <si>
    <t>Katie Thomas</t>
  </si>
  <si>
    <t>Molly Littlehales</t>
  </si>
  <si>
    <t>Chloe Shakell</t>
  </si>
  <si>
    <t>Zara Stubbs</t>
  </si>
  <si>
    <t>Leonie Richards</t>
  </si>
  <si>
    <t>Kim Inott</t>
  </si>
  <si>
    <t>Stephanie Edwards</t>
  </si>
  <si>
    <t>Lilia Rush</t>
  </si>
  <si>
    <t>Emma Rixom</t>
  </si>
  <si>
    <t>PARK</t>
  </si>
  <si>
    <t>Ellie Butler</t>
  </si>
  <si>
    <t>Daniel Padkin</t>
  </si>
  <si>
    <t>Isaac Lowe-Werrell</t>
  </si>
  <si>
    <t>Sam Bruton</t>
  </si>
  <si>
    <t>Maddison Clues</t>
  </si>
  <si>
    <t>Ellena Southall</t>
  </si>
  <si>
    <t>Anna Lewis</t>
  </si>
  <si>
    <t>Elin Bucknall</t>
  </si>
  <si>
    <t>Lilia Spriggs</t>
  </si>
  <si>
    <t>Fergus Scholes-Pryce</t>
  </si>
  <si>
    <t>George Foulger</t>
  </si>
  <si>
    <t>Jason Hodnett</t>
  </si>
  <si>
    <t>Lucy Wilkes</t>
  </si>
  <si>
    <t>Jessica Warren</t>
  </si>
  <si>
    <t>Giorgia Adaggio</t>
  </si>
  <si>
    <t>Zay Bezer</t>
  </si>
  <si>
    <t>Benjamin Greenaway</t>
  </si>
  <si>
    <t>Esther Massengo-Fouani</t>
  </si>
  <si>
    <t>Zara Palmer</t>
  </si>
  <si>
    <t>Abigail Peet</t>
  </si>
  <si>
    <t>Jaya Sanghera</t>
  </si>
  <si>
    <t>Chloe Crocker</t>
  </si>
  <si>
    <t>Boo Humpidge</t>
  </si>
  <si>
    <t>Aurelia Ehiogu</t>
  </si>
  <si>
    <t>Amirah Hewitt</t>
  </si>
  <si>
    <t>Cameron Russon</t>
  </si>
  <si>
    <t>Carys Groucutt</t>
  </si>
  <si>
    <t>Skie Moncrieffe</t>
  </si>
  <si>
    <t>Nevaeh Holgate</t>
  </si>
  <si>
    <t>Kobi Melvile-Sarkar</t>
  </si>
  <si>
    <t>Matilda Goodrham</t>
  </si>
  <si>
    <t>Poppy Pitt</t>
  </si>
  <si>
    <t>Molly Scamp</t>
  </si>
  <si>
    <t>Ellie Mckeon</t>
  </si>
  <si>
    <t>Rose Devey</t>
  </si>
  <si>
    <t>Luke Cornes</t>
  </si>
  <si>
    <t>Felicity Davis</t>
  </si>
  <si>
    <t>Taite Smith</t>
  </si>
  <si>
    <t>Reece Jeffreys</t>
  </si>
  <si>
    <t>Yusuf Mohammed</t>
  </si>
  <si>
    <t>Jack Hames</t>
  </si>
  <si>
    <t>Elise Kimber</t>
  </si>
  <si>
    <t>Ava Daniel</t>
  </si>
  <si>
    <t>Caitlin Hopwood</t>
  </si>
  <si>
    <t>Helen Tse</t>
  </si>
  <si>
    <t>Mimi Lefaye</t>
  </si>
  <si>
    <t>Amy Bayliss</t>
  </si>
  <si>
    <t>Ellie-Grace Ellsmore</t>
  </si>
  <si>
    <t>Milo Thomas</t>
  </si>
  <si>
    <t>Seth Allen</t>
  </si>
  <si>
    <t>Jamie Steele</t>
  </si>
  <si>
    <t>Daisy Egerton</t>
  </si>
  <si>
    <t>Jessica Downing</t>
  </si>
  <si>
    <t>Isabelle Green</t>
  </si>
  <si>
    <t>Sophie Kimber</t>
  </si>
  <si>
    <t>Lauren Kershaw</t>
  </si>
  <si>
    <t>Hollie Parry</t>
  </si>
  <si>
    <t>Kacy Mccrudden</t>
  </si>
  <si>
    <t>Nadia Wojcik</t>
  </si>
  <si>
    <t>Phoebe Costin</t>
  </si>
  <si>
    <t>Venniece Williams</t>
  </si>
  <si>
    <t>Lexie Butcher</t>
  </si>
  <si>
    <t>Nada Mohmoud</t>
  </si>
  <si>
    <t>RUGBY GYMNASTICS CLUB</t>
  </si>
  <si>
    <t>Joseph Bevan</t>
  </si>
  <si>
    <t>RUGBY</t>
  </si>
  <si>
    <t>Rebecca Littler</t>
  </si>
  <si>
    <t>Isobel Maxey</t>
  </si>
  <si>
    <t>Holly Timms</t>
  </si>
  <si>
    <t>Megan Fogo</t>
  </si>
  <si>
    <t xml:space="preserve">RUGBY </t>
  </si>
  <si>
    <t>INT 11YRS &amp; UNDER MIXED</t>
  </si>
  <si>
    <t>Jake Templeman</t>
  </si>
  <si>
    <t>Ben Powell</t>
  </si>
  <si>
    <t>Orla Prag</t>
  </si>
  <si>
    <t>Olivia Chrzanowska</t>
  </si>
  <si>
    <t>Hary-Frank Lynch</t>
  </si>
  <si>
    <t>Lewis Gray</t>
  </si>
  <si>
    <t>Ariana West</t>
  </si>
  <si>
    <t>Shakina Harrison</t>
  </si>
  <si>
    <t>INT 13YRS &amp; UNDER MIXED</t>
  </si>
  <si>
    <t>Lucy Allen</t>
  </si>
  <si>
    <t>SEVERN GYMNASTICS &amp; TRAMPOLINE CLUB</t>
  </si>
  <si>
    <t>Dylan Scott</t>
  </si>
  <si>
    <t>Callum Darrer</t>
  </si>
  <si>
    <t>Mathew Burton</t>
  </si>
  <si>
    <t>Jay Jones</t>
  </si>
  <si>
    <t>SEVERN GYMNASTICS &amp; TRAMPOLINE CLUB D</t>
  </si>
  <si>
    <t>SEVERN GYMNASTICS &amp; TRAMPOLINE CLUB E</t>
  </si>
  <si>
    <t>Lula Pattison</t>
  </si>
  <si>
    <t>Amelia Chaplin</t>
  </si>
  <si>
    <t>Ruby Carolan</t>
  </si>
  <si>
    <t>Eve-Lynn Sullivan</t>
  </si>
  <si>
    <t>Daniella Dsibalova</t>
  </si>
  <si>
    <t>Hattie Yates</t>
  </si>
  <si>
    <t>Claudia Savage</t>
  </si>
  <si>
    <t>Sian Johnson</t>
  </si>
  <si>
    <t>Ruby Hamer</t>
  </si>
  <si>
    <t>Rosie Zlotowitz</t>
  </si>
  <si>
    <t>Orla Clarke</t>
  </si>
  <si>
    <t>Beatrice Salisbury</t>
  </si>
  <si>
    <t>Chloe Richmond</t>
  </si>
  <si>
    <t>SEVERN GYMNASTICS &amp; TRAMPOLINE CLUB C</t>
  </si>
  <si>
    <t xml:space="preserve">SEVERN GYMNASTICS &amp; TRAMPOLINE CLUB G  </t>
  </si>
  <si>
    <t>Emily Foulkes</t>
  </si>
  <si>
    <t>Lauren Johnson</t>
  </si>
  <si>
    <t>Molly Barrett</t>
  </si>
  <si>
    <t>Ellie Wright</t>
  </si>
  <si>
    <t>Maddie Home</t>
  </si>
  <si>
    <t>Emily Ellis</t>
  </si>
  <si>
    <t>Chloe Randle</t>
  </si>
  <si>
    <t>Chloe Darrer</t>
  </si>
  <si>
    <t>Daisy Bickford</t>
  </si>
  <si>
    <t>Daisy Walker</t>
  </si>
  <si>
    <t>Milly Morris</t>
  </si>
  <si>
    <t>Poppy Sherwin</t>
  </si>
  <si>
    <t>Rhyanna Painter</t>
  </si>
  <si>
    <t>Gracie Brayne</t>
  </si>
  <si>
    <t>Grace Stevens</t>
  </si>
  <si>
    <t>Grace Austin</t>
  </si>
  <si>
    <t>STARS</t>
  </si>
  <si>
    <t>Emily Elliott</t>
  </si>
  <si>
    <t>Kayleigh Perks</t>
  </si>
  <si>
    <t>Erin Snape</t>
  </si>
  <si>
    <t>Lyla Ball</t>
  </si>
  <si>
    <t>Olivia Butler</t>
  </si>
  <si>
    <t>Madeline Butler</t>
  </si>
  <si>
    <t>Stella Jones</t>
  </si>
  <si>
    <t>Elizabeth Mason</t>
  </si>
  <si>
    <t>Ellie Long</t>
  </si>
  <si>
    <t>Laura Powers</t>
  </si>
  <si>
    <t>SOLIH</t>
  </si>
  <si>
    <t>Gabrielle Harris</t>
  </si>
  <si>
    <t>Gyaan Devgun</t>
  </si>
  <si>
    <t>Lucy Dowling</t>
  </si>
  <si>
    <t>Pixie-Rose Mckiernan</t>
  </si>
  <si>
    <t>Faye Sun</t>
  </si>
  <si>
    <t>Zahra Afzal</t>
  </si>
  <si>
    <t>Paige Smith</t>
  </si>
  <si>
    <t>Lucy Cronin</t>
  </si>
  <si>
    <t>UTTOXETER HAWKS</t>
  </si>
  <si>
    <t>Jack Longson</t>
  </si>
  <si>
    <t>Jesse Jack</t>
  </si>
  <si>
    <t>Oliver Clamp</t>
  </si>
  <si>
    <t>UTTOXETER SWIFTS</t>
  </si>
  <si>
    <t>Theodore Clayton</t>
  </si>
  <si>
    <t>Billy Gill</t>
  </si>
  <si>
    <t>Elliot Smith</t>
  </si>
  <si>
    <t>William Lemon</t>
  </si>
  <si>
    <t>Jacob Hopkinson</t>
  </si>
  <si>
    <t>Dayton Kemish</t>
  </si>
  <si>
    <t>Kaynan Barfoot</t>
  </si>
  <si>
    <t>Darcey Oversby</t>
  </si>
  <si>
    <t>Keira Millington</t>
  </si>
  <si>
    <t>UTTOXETER KITES</t>
  </si>
  <si>
    <t>Billy Byrne</t>
  </si>
  <si>
    <t>Christopher Harrogate</t>
  </si>
  <si>
    <t>Thomas Silvester</t>
  </si>
  <si>
    <t>Oliver Humphreys-Page</t>
  </si>
  <si>
    <t>UTTOXETER RAVENS</t>
  </si>
  <si>
    <t>Noah Haines</t>
  </si>
  <si>
    <t>Leo Whitfield</t>
  </si>
  <si>
    <t>Jack Hankin</t>
  </si>
  <si>
    <t>Rhianna Hawkins</t>
  </si>
  <si>
    <t>Natasha Hawkins</t>
  </si>
  <si>
    <t>Poppy Page</t>
  </si>
  <si>
    <t>Adam Cope</t>
  </si>
  <si>
    <t>Ciaran Knapper</t>
  </si>
  <si>
    <t>Callum Slatcher-Ball</t>
  </si>
  <si>
    <t>Lewis Haynes</t>
  </si>
  <si>
    <t>Wiliam Breen</t>
  </si>
  <si>
    <t>UTTOXETER ROBINS</t>
  </si>
  <si>
    <t>Ruby Weston</t>
  </si>
  <si>
    <t>Sian Wilson</t>
  </si>
  <si>
    <t>Sophie Ainsworth</t>
  </si>
  <si>
    <t>Jersey Arthur</t>
  </si>
  <si>
    <t>Molly Hulse</t>
  </si>
  <si>
    <t>Summer Jefferson</t>
  </si>
  <si>
    <t>Abigail Burton</t>
  </si>
  <si>
    <t>Isabelle Cope</t>
  </si>
  <si>
    <t>Macy Bentley</t>
  </si>
  <si>
    <t>Lucy Bell</t>
  </si>
  <si>
    <t>Ellie Dimbleby</t>
  </si>
  <si>
    <t>Natalie Stevens</t>
  </si>
  <si>
    <t>Lucy Grindley</t>
  </si>
  <si>
    <t>Lara Barnett</t>
  </si>
  <si>
    <t>Murphy Hamilton</t>
  </si>
  <si>
    <t>Aeron Lauben</t>
  </si>
  <si>
    <t>Jonty Lauben</t>
  </si>
  <si>
    <t>Jonty Brown</t>
  </si>
  <si>
    <t>Olivia Ede</t>
  </si>
  <si>
    <t>Ella Roberts</t>
  </si>
  <si>
    <t>Hannah Dicken</t>
  </si>
  <si>
    <t>Harriet Ferguson</t>
  </si>
  <si>
    <t>Hannah Finney</t>
  </si>
  <si>
    <t>Olivia Stamp</t>
  </si>
  <si>
    <t>Polly Welford</t>
  </si>
  <si>
    <t>Annie-May Mathieson</t>
  </si>
  <si>
    <t>Evie Holmes</t>
  </si>
  <si>
    <t>Sophie Lee</t>
  </si>
  <si>
    <t>Jennifer Gregson</t>
  </si>
  <si>
    <t>Isla Hardisty</t>
  </si>
  <si>
    <t>Millie Williams</t>
  </si>
  <si>
    <t>Ella Smith</t>
  </si>
  <si>
    <t>Rihanna Ralph</t>
  </si>
  <si>
    <t>WOLVERHAMPTON PINK</t>
  </si>
  <si>
    <t>Lulah Ray Lowbridge</t>
  </si>
  <si>
    <t>Libby Homer</t>
  </si>
  <si>
    <t>Hannah Lake</t>
  </si>
  <si>
    <t>WOLV</t>
  </si>
  <si>
    <t>WYRE FOREST GYMNASTICS SCHOOL</t>
  </si>
  <si>
    <t>WYRE FOREST GYMNASTICS SCHOOL BLACK</t>
  </si>
  <si>
    <t>WYRE FOREST GYMNASTICS SCHOOL PURPLE</t>
  </si>
  <si>
    <t>Lucy O'Hare</t>
  </si>
  <si>
    <t>Esmae Rowan</t>
  </si>
  <si>
    <t>Amelie May Moseley</t>
  </si>
  <si>
    <t>Mia Tramontana</t>
  </si>
  <si>
    <t>Lydia Pearson</t>
  </si>
  <si>
    <t>Kayleigh Dodd</t>
  </si>
  <si>
    <t>Isabella Abel</t>
  </si>
  <si>
    <t>WYRE</t>
  </si>
  <si>
    <t>Amelie Taylor</t>
  </si>
  <si>
    <t>Chloe Garstang</t>
  </si>
  <si>
    <t>Charis Pavely</t>
  </si>
  <si>
    <t>Chloë Arnold</t>
  </si>
  <si>
    <t>Hannah Lewis</t>
  </si>
  <si>
    <t>Lily Mchale</t>
  </si>
  <si>
    <t>Mia Harris</t>
  </si>
  <si>
    <t>Bethany Taylor</t>
  </si>
  <si>
    <t xml:space="preserve">WYRE FOREST GS </t>
  </si>
  <si>
    <t>Skye Mcadam</t>
  </si>
  <si>
    <t>WYRE FOREST GS</t>
  </si>
  <si>
    <t>Faye Seagrove</t>
  </si>
  <si>
    <t>Megan Seagrove</t>
  </si>
  <si>
    <t>Maisie Yarrington</t>
  </si>
  <si>
    <t>Eva Hyde</t>
  </si>
  <si>
    <t>Sofia Bassinder</t>
  </si>
  <si>
    <t>Lily Jenkins</t>
  </si>
  <si>
    <t xml:space="preserve">Jasmine Jones </t>
  </si>
  <si>
    <t>WYTHALL GYMNASTICS CLUB A</t>
  </si>
  <si>
    <t>Benjamin Burbridge</t>
  </si>
  <si>
    <t>James Mcconnell</t>
  </si>
  <si>
    <t>Aliya Hasan</t>
  </si>
  <si>
    <t>WYTH</t>
  </si>
  <si>
    <t>Skye Taylor</t>
  </si>
  <si>
    <t>Freya Carleton</t>
  </si>
  <si>
    <t>Samuel Miles</t>
  </si>
  <si>
    <t>Charlie Roberts</t>
  </si>
  <si>
    <t>Frances Setchell</t>
  </si>
  <si>
    <t>Bonnie Mooney</t>
  </si>
  <si>
    <t>Cassie Kelly-Cooper</t>
  </si>
  <si>
    <t>ADV 9YRS &amp; UNDER MIXED</t>
  </si>
  <si>
    <t>Samuel Thomas</t>
  </si>
  <si>
    <t>Alexander Morgan</t>
  </si>
  <si>
    <t>Thai Nelson</t>
  </si>
  <si>
    <t>Matthew Banks</t>
  </si>
  <si>
    <t>Lilla Sirrell</t>
  </si>
  <si>
    <t>Neve Hood</t>
  </si>
  <si>
    <t>Phoebe Mooney</t>
  </si>
  <si>
    <t>Khadijah Bashir</t>
  </si>
  <si>
    <t xml:space="preserve">Enya Hickey </t>
  </si>
  <si>
    <t>Isabelle Nouhov</t>
  </si>
  <si>
    <t>Millie Waterhouse</t>
  </si>
  <si>
    <t>Amelie Smith</t>
  </si>
  <si>
    <t>Eva Murray</t>
  </si>
  <si>
    <t>George Mulholland</t>
  </si>
  <si>
    <t>Kaelan Nayyar</t>
  </si>
  <si>
    <t>Luke Ullah</t>
  </si>
  <si>
    <t>Winnie Padmore</t>
  </si>
  <si>
    <t>Megan Hood</t>
  </si>
  <si>
    <t>Chloe Wood</t>
  </si>
  <si>
    <t>BIDDULPH VALLEY RED</t>
  </si>
  <si>
    <t>BIDDULPH VALLEY YELLOW</t>
  </si>
  <si>
    <t>COLESHILL GREEN</t>
  </si>
  <si>
    <t xml:space="preserve">COLESHILL BLUE </t>
  </si>
  <si>
    <t>COVENTRY EMPIRE  1</t>
  </si>
  <si>
    <t>COVENTRY EMPIRE  2</t>
  </si>
  <si>
    <t>GYMFINITY GC</t>
  </si>
  <si>
    <t>NUNEATON GC</t>
  </si>
  <si>
    <t>BIRCHES VALLEY GC</t>
  </si>
  <si>
    <t>ERDINGTON GC ORANGE</t>
  </si>
  <si>
    <t>LEAM &amp; WARWICK GC</t>
  </si>
  <si>
    <t>SEVERN G&amp;TC D</t>
  </si>
  <si>
    <t>SEVERN G&amp;TC E</t>
  </si>
  <si>
    <t>FUNDAMENTAL MA</t>
  </si>
  <si>
    <t>COVENTRY EMPIRE GA</t>
  </si>
  <si>
    <t>ERDINGTON GC GREEN</t>
  </si>
  <si>
    <t xml:space="preserve">AIRBORNE GC </t>
  </si>
  <si>
    <t>SEVERN G&amp;TC C</t>
  </si>
  <si>
    <t>SEVERN G&amp;TC G</t>
  </si>
  <si>
    <t xml:space="preserve">WYRE FOREST GC </t>
  </si>
  <si>
    <t>ERDINGTON GC PINK</t>
  </si>
  <si>
    <t>BIDDULPH VALLEY GC</t>
  </si>
  <si>
    <t xml:space="preserve">PARK WREKIN </t>
  </si>
  <si>
    <t xml:space="preserve">REVOLUTION GC A </t>
  </si>
  <si>
    <t>CITY OF STOKE C</t>
  </si>
  <si>
    <t>ERDINGTON GC TURQUOISE</t>
  </si>
  <si>
    <t>LEAM &amp; WARWICK GC BLUE</t>
  </si>
  <si>
    <t>LEAM &amp; WARWICK GC WHITE</t>
  </si>
  <si>
    <t>NUNEATON GC 1</t>
  </si>
  <si>
    <t>NUNEATON GC 2</t>
  </si>
  <si>
    <t>RUGBY GC</t>
  </si>
  <si>
    <t>ERDINGTON GC</t>
  </si>
  <si>
    <t xml:space="preserve">UTTOXETER TURQUOISE </t>
  </si>
  <si>
    <t xml:space="preserve">CITY OF WORCESTER GC </t>
  </si>
  <si>
    <t xml:space="preserve">COVENTRY EMPIRE GA </t>
  </si>
  <si>
    <t>WYRE FOREST BLACK</t>
  </si>
  <si>
    <t>WYRE FOREST PURPLE</t>
  </si>
  <si>
    <t xml:space="preserve">UTTOXETER MERLINS </t>
  </si>
  <si>
    <t xml:space="preserve">BIRCHES VALLEY GC </t>
  </si>
  <si>
    <t>Kasey Maybury</t>
  </si>
  <si>
    <t>CITY OF WORCESTER GYMNASTICS CLUB (1xInd)</t>
  </si>
  <si>
    <t>Harvey Brooks</t>
  </si>
  <si>
    <t>LEAMINGTON &amp; WARWICK GYMNASTICS CLUB (1xInd)</t>
  </si>
  <si>
    <t>REVOLUTION GYMNASTICS CLUB (1xInd)</t>
  </si>
  <si>
    <t>CITY OF STOKE GYM CLUB (1xInd)</t>
  </si>
  <si>
    <t xml:space="preserve">Indianna Lewis </t>
  </si>
  <si>
    <t xml:space="preserve">Caelan Maher </t>
  </si>
  <si>
    <t>Top 2 x Boys &amp; Girls Scores</t>
  </si>
  <si>
    <t>INT 15YRS &amp; UNDER MIXED</t>
  </si>
  <si>
    <t>FLYTE GYMNASTICS (1xInd)</t>
  </si>
  <si>
    <t>NUNEATON GYMNASTICS CLUB (2xInd)</t>
  </si>
  <si>
    <t>CITY OF STOKE GYM CLUB (2xInd)</t>
  </si>
  <si>
    <t>PHYSICAL DISABILITY 15 &amp; UNDER - MALEx2</t>
  </si>
  <si>
    <t>DISABILITY INTERMEDIATE 15 &amp; UNDER IND - FEMALEx3</t>
  </si>
  <si>
    <t>DISABILITY INTERMEDIATE 15 &amp; UNDER IND - MALEx3</t>
  </si>
  <si>
    <t>DISABILITY ADVANCED 15 &amp; UNDER IND - FEMALEx3</t>
  </si>
  <si>
    <t>DISABILITY ADVANCED 16 &amp; ABOVE IND - MALEx1</t>
  </si>
  <si>
    <t>DISABILITY ADVANCED 16 &amp; ABOVE IND - FEMALEx6</t>
  </si>
  <si>
    <t>RUGBY GYMNASTICS CLUB (1xInd)</t>
  </si>
  <si>
    <t>LEAMINGTON &amp; WARWICK GYMNASTICS CLUB (3xInd)</t>
  </si>
  <si>
    <t>BIRCHES VALLEY GYMNASTICS CLUB (1xInd)</t>
  </si>
  <si>
    <t>GYMFINITY GYMNASTICS CLUB (1xInd)</t>
  </si>
  <si>
    <t>BROMSGROVE GYMNASTICS CLUB (1xInd)</t>
  </si>
  <si>
    <t>FUNDAMENTAL MOVEMENT ACADEMY (1xInd)</t>
  </si>
  <si>
    <t>BIRCHES VALLEY GYMNASTICS CLUB (3xInd)</t>
  </si>
  <si>
    <t xml:space="preserve">BLOXWICH GYMNASTICS CLUB (1xInd) </t>
  </si>
  <si>
    <t>ERDINGTON GYM CLUB (2xInd)</t>
  </si>
  <si>
    <t>SEVERN GYMNASTICS &amp; TRAMPOLINE CLUB (2xInd)</t>
  </si>
  <si>
    <t xml:space="preserve">LEAMINGTON &amp; WARWICK GYMNASTICS CLUB (2xInd) </t>
  </si>
  <si>
    <t>JNB GYMNASTICS ACADEMY (1xInd)</t>
  </si>
  <si>
    <t>JNB GYMNASTICS ACADEMY (3xInd)</t>
  </si>
  <si>
    <t>BIDDULPH VALLEY GYMNASTICS CLUB (2xInd)</t>
  </si>
  <si>
    <t>SOLIHULL OLYMPIC GYMNASTICS CLUB (1xInd)</t>
  </si>
  <si>
    <t>SHOOTING STARS (2xInd)</t>
  </si>
  <si>
    <t>BIDDULPH VALLEY GYMNASTICS CLUB (1xInd)</t>
  </si>
  <si>
    <t>UTTOXETER GYMNASTICS CLUB (1xInd)</t>
  </si>
  <si>
    <t>SHOOTING STARS (1xInd)</t>
  </si>
  <si>
    <t>COVENTRY EMPIRE GYMNASTICS ACADEMY (1xInd)</t>
  </si>
  <si>
    <t>WOLVERHAMPTON GYM CLUB (2xInd)</t>
  </si>
  <si>
    <t>BIRCHES VALLEY GYMNASTICS CLUB (2xInd)</t>
  </si>
  <si>
    <t>Ethan Fitzpatrick</t>
  </si>
  <si>
    <t xml:space="preserve">Robyn Daniel </t>
  </si>
  <si>
    <t>Annesha Zaman</t>
  </si>
  <si>
    <t>Charlotte Wingett</t>
  </si>
  <si>
    <t>Isobel Savill</t>
  </si>
  <si>
    <t>Nicholas Marshall</t>
  </si>
  <si>
    <t>Keon Alabi</t>
  </si>
  <si>
    <t>Dara Jamieson</t>
  </si>
  <si>
    <t>REVOLUTION A GC</t>
  </si>
  <si>
    <t>REVOLUTION B GC</t>
  </si>
  <si>
    <t>Kieron Downie</t>
  </si>
  <si>
    <t>Isabella Hughes</t>
  </si>
  <si>
    <t xml:space="preserve">Lola Edwards </t>
  </si>
  <si>
    <t xml:space="preserve">Eleanor Long </t>
  </si>
  <si>
    <t>Tori Edwards</t>
  </si>
  <si>
    <t xml:space="preserve">Tori Edwards </t>
  </si>
  <si>
    <t xml:space="preserve">Emma Pound </t>
  </si>
  <si>
    <t>GYM</t>
  </si>
  <si>
    <t>CLUB3</t>
  </si>
  <si>
    <t>FLYTE GYMNASTICS</t>
  </si>
  <si>
    <t>FUSION GC (1xInd)</t>
  </si>
  <si>
    <t>Demi Browne</t>
  </si>
  <si>
    <t xml:space="preserve">Amelie Ramsey </t>
  </si>
  <si>
    <t>Erin Hyde</t>
  </si>
  <si>
    <t>Rohanna Goulding</t>
  </si>
  <si>
    <t>Ella Green</t>
  </si>
  <si>
    <t>BLOXWICH GYMNASTICS CLUB (1xInd)</t>
  </si>
  <si>
    <t>Ciara Corcoran</t>
  </si>
  <si>
    <t>Charlotte Upton</t>
  </si>
  <si>
    <t xml:space="preserve">Freya Deacon </t>
  </si>
  <si>
    <t xml:space="preserve">Harry Pendlebury </t>
  </si>
  <si>
    <t xml:space="preserve">BLOXWICH GYMNASTICS CLUB (2xInd) </t>
  </si>
  <si>
    <t xml:space="preserve">LEAMINGTON &amp; WARWICK GYMNASTICS CLUB (1xInd) </t>
  </si>
  <si>
    <t xml:space="preserve">COLESHILL GYMNASTICS CLUB (2xInd) </t>
  </si>
  <si>
    <t>LEAMINGTON &amp; WARWICK GYMNASTICS CLUB(1xInd)</t>
  </si>
  <si>
    <t xml:space="preserve">CITY OF WORCESTER GYMNASTICS CLUB (1xInd) </t>
  </si>
  <si>
    <t>Erin Sullivan</t>
  </si>
  <si>
    <t xml:space="preserve">Agatha Tanasa </t>
  </si>
  <si>
    <t>AIRBORNE</t>
  </si>
  <si>
    <t>BIDDULPH</t>
  </si>
  <si>
    <t>COLESHILL</t>
  </si>
  <si>
    <t>FMA</t>
  </si>
  <si>
    <t>FUNDAMENTAL MOVEMENT</t>
  </si>
  <si>
    <t>LEAMINGTON</t>
  </si>
  <si>
    <t>LEAMINGTON &amp; WARWICK</t>
  </si>
  <si>
    <t>SOLIHULL</t>
  </si>
  <si>
    <t>Willow Hughes</t>
  </si>
</sst>
</file>

<file path=xl/styles.xml><?xml version="1.0" encoding="utf-8"?>
<styleSheet xmlns="http://schemas.openxmlformats.org/spreadsheetml/2006/main">
  <numFmts count="1">
    <numFmt numFmtId="164" formatCode="000"/>
  </numFmts>
  <fonts count="5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3"/>
      <name val="Calibri"/>
      <family val="2"/>
    </font>
    <font>
      <sz val="11"/>
      <color theme="3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C00000"/>
      <name val="Arial"/>
      <family val="2"/>
    </font>
    <font>
      <b/>
      <i/>
      <sz val="11"/>
      <color theme="0"/>
      <name val="Calibri"/>
      <family val="2"/>
    </font>
    <font>
      <sz val="12"/>
      <color theme="0"/>
      <name val="Calibri"/>
    </font>
    <font>
      <sz val="10"/>
      <name val="Calibri"/>
      <scheme val="minor"/>
    </font>
    <font>
      <sz val="12"/>
      <name val="Calibri"/>
      <scheme val="minor"/>
    </font>
    <font>
      <i/>
      <sz val="11"/>
      <color rgb="FF000000"/>
      <name val="Calibri"/>
      <family val="2"/>
      <scheme val="minor"/>
    </font>
    <font>
      <sz val="11"/>
      <name val="Calibri"/>
      <scheme val="minor"/>
    </font>
    <font>
      <strike/>
      <sz val="12"/>
      <name val="Calibri"/>
      <scheme val="minor"/>
    </font>
    <font>
      <b/>
      <sz val="12"/>
      <name val="Calibri"/>
    </font>
    <font>
      <sz val="11"/>
      <color theme="1"/>
      <name val="Calibri"/>
      <scheme val="minor"/>
    </font>
    <font>
      <b/>
      <sz val="12"/>
      <color rgb="FFFF0000"/>
      <name val="Calibri"/>
      <family val="2"/>
    </font>
    <font>
      <sz val="11.5"/>
      <name val="Calibri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</font>
    <font>
      <sz val="11.5"/>
      <color theme="1"/>
      <name val="Calibri"/>
      <family val="2"/>
      <scheme val="minor"/>
    </font>
    <font>
      <sz val="9"/>
      <name val="Calibri (Body)"/>
    </font>
    <font>
      <sz val="10.5"/>
      <name val="Calibri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strike/>
      <sz val="12"/>
      <color theme="1"/>
      <name val="Calibri"/>
      <family val="2"/>
      <scheme val="minor"/>
    </font>
    <font>
      <strike/>
      <sz val="12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rgb="FF000000"/>
      <name val="Calibri"/>
      <family val="2"/>
      <scheme val="minor"/>
    </font>
    <font>
      <b/>
      <strike/>
      <sz val="12"/>
      <color theme="1"/>
      <name val="Calibri"/>
      <family val="2"/>
    </font>
    <font>
      <b/>
      <strike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gradientFill degree="90">
        <stop position="0">
          <color rgb="FF00FF00"/>
        </stop>
        <stop position="0.5">
          <color theme="0"/>
        </stop>
        <stop position="1">
          <color rgb="FF00FF00"/>
        </stop>
      </gradientFill>
    </fill>
    <fill>
      <gradientFill degree="90">
        <stop position="0">
          <color rgb="FF00B0F0"/>
        </stop>
        <stop position="0.5">
          <color theme="0"/>
        </stop>
        <stop position="1">
          <color rgb="FF00B0F0"/>
        </stop>
      </gradientFill>
    </fill>
    <fill>
      <gradientFill degree="90">
        <stop position="0">
          <color rgb="FFFF00FF"/>
        </stop>
        <stop position="0.5">
          <color theme="0"/>
        </stop>
        <stop position="1">
          <color rgb="FFFF00FF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theme="7" tint="0.39997558519241921"/>
      </top>
      <bottom/>
      <diagonal/>
    </border>
    <border>
      <left/>
      <right/>
      <top style="thin">
        <color auto="1"/>
      </top>
      <bottom/>
      <diagonal/>
    </border>
  </borders>
  <cellStyleXfs count="653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7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/>
    <xf numFmtId="0" fontId="7" fillId="0" borderId="0" xfId="0" applyFont="1"/>
    <xf numFmtId="2" fontId="0" fillId="0" borderId="0" xfId="0" applyNumberFormat="1"/>
    <xf numFmtId="0" fontId="0" fillId="0" borderId="0" xfId="0" applyFill="1"/>
    <xf numFmtId="0" fontId="7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0" xfId="0" applyFont="1"/>
    <xf numFmtId="49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12" fillId="0" borderId="0" xfId="0" applyFont="1" applyFill="1"/>
    <xf numFmtId="0" fontId="0" fillId="0" borderId="4" xfId="0" applyFill="1" applyBorder="1"/>
    <xf numFmtId="2" fontId="0" fillId="0" borderId="6" xfId="0" applyNumberForma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2" fontId="15" fillId="0" borderId="4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16" fillId="0" borderId="0" xfId="0" applyFont="1" applyFill="1"/>
    <xf numFmtId="0" fontId="14" fillId="0" borderId="0" xfId="0" applyFont="1" applyFill="1" applyAlignment="1">
      <alignment horizontal="center"/>
    </xf>
    <xf numFmtId="0" fontId="12" fillId="0" borderId="0" xfId="0" applyFont="1" applyFill="1" applyBorder="1"/>
    <xf numFmtId="0" fontId="16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4" fillId="0" borderId="0" xfId="0" applyFont="1" applyBorder="1"/>
    <xf numFmtId="2" fontId="14" fillId="0" borderId="4" xfId="0" applyNumberFormat="1" applyFont="1" applyBorder="1" applyAlignment="1">
      <alignment horizontal="center"/>
    </xf>
    <xf numFmtId="0" fontId="7" fillId="0" borderId="0" xfId="0" applyFont="1" applyBorder="1"/>
    <xf numFmtId="0" fontId="14" fillId="0" borderId="0" xfId="0" applyFont="1"/>
    <xf numFmtId="0" fontId="0" fillId="0" borderId="0" xfId="0" applyBorder="1" applyAlignment="1"/>
    <xf numFmtId="0" fontId="0" fillId="0" borderId="3" xfId="0" applyFill="1" applyBorder="1"/>
    <xf numFmtId="0" fontId="14" fillId="0" borderId="10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20" fillId="0" borderId="0" xfId="0" applyFont="1"/>
    <xf numFmtId="0" fontId="0" fillId="0" borderId="4" xfId="0" applyBorder="1"/>
    <xf numFmtId="0" fontId="22" fillId="0" borderId="0" xfId="0" applyFont="1"/>
    <xf numFmtId="2" fontId="22" fillId="0" borderId="0" xfId="0" applyNumberFormat="1" applyFont="1"/>
    <xf numFmtId="2" fontId="0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Border="1"/>
    <xf numFmtId="49" fontId="2" fillId="0" borderId="8" xfId="0" applyNumberFormat="1" applyFont="1" applyFill="1" applyBorder="1" applyAlignment="1">
      <alignment horizontal="center"/>
    </xf>
    <xf numFmtId="49" fontId="0" fillId="0" borderId="0" xfId="0" applyNumberFormat="1"/>
    <xf numFmtId="0" fontId="23" fillId="0" borderId="0" xfId="0" applyNumberFormat="1" applyFont="1" applyBorder="1"/>
    <xf numFmtId="0" fontId="22" fillId="0" borderId="8" xfId="0" applyNumberFormat="1" applyFont="1" applyFill="1" applyBorder="1" applyAlignment="1">
      <alignment horizontal="center"/>
    </xf>
    <xf numFmtId="0" fontId="23" fillId="0" borderId="0" xfId="0" applyNumberFormat="1" applyFont="1"/>
    <xf numFmtId="2" fontId="0" fillId="0" borderId="0" xfId="0" applyNumberFormat="1" applyFont="1" applyBorder="1"/>
    <xf numFmtId="0" fontId="0" fillId="0" borderId="0" xfId="0" applyNumberFormat="1" applyBorder="1"/>
    <xf numFmtId="0" fontId="2" fillId="0" borderId="8" xfId="0" applyNumberFormat="1" applyFont="1" applyFill="1" applyBorder="1" applyAlignment="1">
      <alignment horizontal="center"/>
    </xf>
    <xf numFmtId="0" fontId="0" fillId="0" borderId="0" xfId="0" applyNumberFormat="1"/>
    <xf numFmtId="0" fontId="2" fillId="0" borderId="0" xfId="0" applyFont="1" applyBorder="1"/>
    <xf numFmtId="0" fontId="22" fillId="0" borderId="0" xfId="0" applyNumberFormat="1" applyFont="1" applyBorder="1"/>
    <xf numFmtId="0" fontId="22" fillId="0" borderId="0" xfId="0" applyNumberFormat="1" applyFont="1"/>
    <xf numFmtId="2" fontId="0" fillId="0" borderId="3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8" fillId="0" borderId="0" xfId="0" applyFont="1" applyBorder="1"/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27" fillId="0" borderId="0" xfId="0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20" fillId="0" borderId="0" xfId="0" applyFont="1" applyFill="1" applyBorder="1" applyAlignment="1"/>
    <xf numFmtId="0" fontId="16" fillId="0" borderId="0" xfId="0" applyFont="1" applyFill="1" applyBorder="1" applyAlignment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/>
    <xf numFmtId="0" fontId="29" fillId="0" borderId="0" xfId="0" applyFont="1" applyBorder="1" applyAlignment="1">
      <alignment horizontal="left"/>
    </xf>
    <xf numFmtId="0" fontId="32" fillId="0" borderId="1" xfId="0" applyFont="1" applyBorder="1"/>
    <xf numFmtId="0" fontId="33" fillId="0" borderId="0" xfId="0" applyFont="1"/>
    <xf numFmtId="0" fontId="32" fillId="0" borderId="1" xfId="0" applyFont="1" applyFill="1" applyBorder="1"/>
    <xf numFmtId="0" fontId="34" fillId="0" borderId="1" xfId="0" applyFont="1" applyBorder="1"/>
    <xf numFmtId="0" fontId="32" fillId="0" borderId="14" xfId="0" applyFont="1" applyBorder="1"/>
    <xf numFmtId="0" fontId="13" fillId="0" borderId="14" xfId="0" applyFont="1" applyBorder="1"/>
    <xf numFmtId="0" fontId="20" fillId="0" borderId="4" xfId="0" applyFont="1" applyBorder="1"/>
    <xf numFmtId="0" fontId="32" fillId="0" borderId="4" xfId="0" applyFont="1" applyBorder="1"/>
    <xf numFmtId="0" fontId="32" fillId="0" borderId="4" xfId="0" applyNumberFormat="1" applyFont="1" applyFill="1" applyBorder="1"/>
    <xf numFmtId="49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32" fillId="0" borderId="0" xfId="0" applyFont="1" applyFill="1" applyBorder="1"/>
    <xf numFmtId="0" fontId="32" fillId="0" borderId="4" xfId="0" applyFont="1" applyFill="1" applyBorder="1"/>
    <xf numFmtId="0" fontId="32" fillId="0" borderId="6" xfId="0" applyNumberFormat="1" applyFont="1" applyFill="1" applyBorder="1"/>
    <xf numFmtId="0" fontId="32" fillId="0" borderId="0" xfId="0" applyFont="1" applyBorder="1"/>
    <xf numFmtId="0" fontId="7" fillId="0" borderId="0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6" fillId="0" borderId="0" xfId="0" applyFont="1" applyBorder="1"/>
    <xf numFmtId="0" fontId="1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3" xfId="0" applyFont="1" applyFill="1" applyBorder="1" applyAlignment="1"/>
    <xf numFmtId="0" fontId="0" fillId="0" borderId="6" xfId="0" applyFill="1" applyBorder="1"/>
    <xf numFmtId="0" fontId="33" fillId="0" borderId="0" xfId="0" applyFont="1" applyBorder="1"/>
    <xf numFmtId="0" fontId="24" fillId="0" borderId="0" xfId="0" applyFont="1" applyBorder="1" applyAlignment="1">
      <alignment horizontal="left"/>
    </xf>
    <xf numFmtId="0" fontId="20" fillId="0" borderId="0" xfId="0" applyFont="1" applyBorder="1"/>
    <xf numFmtId="0" fontId="32" fillId="0" borderId="6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4" fillId="0" borderId="0" xfId="0" applyFont="1" applyBorder="1"/>
    <xf numFmtId="0" fontId="0" fillId="0" borderId="0" xfId="0" applyNumberFormat="1" applyFill="1" applyBorder="1" applyAlignment="1">
      <alignment horizontal="center"/>
    </xf>
    <xf numFmtId="0" fontId="0" fillId="0" borderId="4" xfId="0" applyFont="1" applyBorder="1"/>
    <xf numFmtId="0" fontId="35" fillId="0" borderId="0" xfId="0" applyFont="1" applyFill="1" applyBorder="1"/>
    <xf numFmtId="0" fontId="13" fillId="0" borderId="0" xfId="0" applyFont="1" applyFill="1" applyBorder="1"/>
    <xf numFmtId="0" fontId="7" fillId="0" borderId="8" xfId="0" applyFont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33" fillId="0" borderId="0" xfId="0" applyFont="1" applyFill="1" applyBorder="1"/>
    <xf numFmtId="2" fontId="15" fillId="0" borderId="0" xfId="0" applyNumberFormat="1" applyFont="1" applyBorder="1"/>
    <xf numFmtId="16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32" fillId="0" borderId="2" xfId="0" applyFont="1" applyBorder="1"/>
    <xf numFmtId="2" fontId="0" fillId="0" borderId="2" xfId="0" applyNumberForma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/>
    <xf numFmtId="0" fontId="10" fillId="0" borderId="2" xfId="0" applyFont="1" applyFill="1" applyBorder="1" applyAlignment="1"/>
    <xf numFmtId="0" fontId="24" fillId="0" borderId="4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32" fillId="0" borderId="12" xfId="0" applyFont="1" applyBorder="1"/>
    <xf numFmtId="0" fontId="31" fillId="0" borderId="1" xfId="0" applyFont="1" applyBorder="1"/>
    <xf numFmtId="0" fontId="0" fillId="0" borderId="0" xfId="0" applyAlignment="1">
      <alignment horizontal="left"/>
    </xf>
    <xf numFmtId="0" fontId="39" fillId="0" borderId="1" xfId="0" applyFont="1" applyFill="1" applyBorder="1"/>
    <xf numFmtId="0" fontId="39" fillId="0" borderId="0" xfId="0" applyFont="1" applyFill="1" applyBorder="1"/>
    <xf numFmtId="2" fontId="7" fillId="0" borderId="0" xfId="0" applyNumberFormat="1" applyFont="1"/>
    <xf numFmtId="0" fontId="14" fillId="0" borderId="0" xfId="0" applyFont="1" applyFill="1"/>
    <xf numFmtId="164" fontId="0" fillId="0" borderId="4" xfId="0" applyNumberFormat="1" applyBorder="1" applyAlignment="1">
      <alignment horizontal="left"/>
    </xf>
    <xf numFmtId="2" fontId="0" fillId="0" borderId="0" xfId="0" applyNumberFormat="1" applyFill="1" applyAlignment="1">
      <alignment horizontal="left"/>
    </xf>
    <xf numFmtId="2" fontId="0" fillId="0" borderId="0" xfId="0" applyNumberFormat="1" applyBorder="1"/>
    <xf numFmtId="164" fontId="32" fillId="0" borderId="4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0" fontId="32" fillId="0" borderId="3" xfId="0" applyFont="1" applyBorder="1"/>
    <xf numFmtId="0" fontId="32" fillId="0" borderId="11" xfId="0" applyFont="1" applyBorder="1"/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0" fillId="0" borderId="4" xfId="0" applyFont="1" applyFill="1" applyBorder="1"/>
    <xf numFmtId="2" fontId="40" fillId="0" borderId="4" xfId="0" applyNumberFormat="1" applyFont="1" applyFill="1" applyBorder="1" applyAlignment="1">
      <alignment horizontal="center"/>
    </xf>
    <xf numFmtId="0" fontId="32" fillId="0" borderId="3" xfId="0" applyFont="1" applyFill="1" applyBorder="1"/>
    <xf numFmtId="0" fontId="32" fillId="0" borderId="11" xfId="0" applyFont="1" applyFill="1" applyBorder="1"/>
    <xf numFmtId="0" fontId="40" fillId="0" borderId="6" xfId="0" applyFont="1" applyFill="1" applyBorder="1"/>
    <xf numFmtId="2" fontId="40" fillId="0" borderId="6" xfId="0" applyNumberFormat="1" applyFont="1" applyFill="1" applyBorder="1" applyAlignment="1">
      <alignment horizontal="center"/>
    </xf>
    <xf numFmtId="0" fontId="41" fillId="0" borderId="4" xfId="0" applyFont="1" applyFill="1" applyBorder="1"/>
    <xf numFmtId="2" fontId="41" fillId="0" borderId="4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4" xfId="0" applyNumberFormat="1" applyFont="1" applyFill="1" applyBorder="1" applyAlignment="1">
      <alignment horizontal="center"/>
    </xf>
    <xf numFmtId="0" fontId="43" fillId="0" borderId="4" xfId="0" applyFont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34" fillId="0" borderId="14" xfId="0" applyFont="1" applyBorder="1"/>
    <xf numFmtId="0" fontId="44" fillId="0" borderId="1" xfId="0" applyFont="1" applyBorder="1"/>
    <xf numFmtId="0" fontId="0" fillId="0" borderId="4" xfId="0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0" fillId="0" borderId="14" xfId="0" applyFill="1" applyBorder="1"/>
    <xf numFmtId="0" fontId="0" fillId="0" borderId="4" xfId="0" applyNumberForma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5" fillId="0" borderId="4" xfId="0" applyFont="1" applyBorder="1"/>
    <xf numFmtId="0" fontId="0" fillId="0" borderId="8" xfId="0" applyFill="1" applyBorder="1"/>
    <xf numFmtId="0" fontId="0" fillId="0" borderId="4" xfId="0" applyNumberFormat="1" applyFont="1" applyFill="1" applyBorder="1" applyAlignment="1">
      <alignment horizontal="center"/>
    </xf>
    <xf numFmtId="0" fontId="45" fillId="0" borderId="4" xfId="0" applyFont="1" applyFill="1" applyBorder="1"/>
    <xf numFmtId="0" fontId="45" fillId="0" borderId="6" xfId="0" applyFont="1" applyFill="1" applyBorder="1"/>
    <xf numFmtId="0" fontId="10" fillId="0" borderId="0" xfId="0" applyFont="1" applyFill="1" applyBorder="1" applyAlignment="1">
      <alignment horizontal="left"/>
    </xf>
    <xf numFmtId="0" fontId="45" fillId="0" borderId="1" xfId="0" applyFont="1" applyBorder="1"/>
    <xf numFmtId="0" fontId="20" fillId="0" borderId="4" xfId="0" applyNumberFormat="1" applyFont="1" applyFill="1" applyBorder="1"/>
    <xf numFmtId="0" fontId="45" fillId="0" borderId="6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36" fillId="0" borderId="0" xfId="0" applyFont="1" applyFill="1" applyBorder="1" applyAlignment="1">
      <alignment horizontal="left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2" xfId="0" applyBorder="1"/>
    <xf numFmtId="0" fontId="46" fillId="0" borderId="1" xfId="0" applyFont="1" applyFill="1" applyBorder="1" applyAlignment="1">
      <alignment horizontal="left"/>
    </xf>
    <xf numFmtId="2" fontId="47" fillId="0" borderId="0" xfId="0" applyNumberFormat="1" applyFont="1"/>
    <xf numFmtId="2" fontId="47" fillId="0" borderId="0" xfId="0" applyNumberFormat="1" applyFont="1" applyAlignment="1">
      <alignment horizontal="center"/>
    </xf>
    <xf numFmtId="2" fontId="41" fillId="0" borderId="0" xfId="0" applyNumberFormat="1" applyFont="1" applyBorder="1"/>
    <xf numFmtId="2" fontId="41" fillId="0" borderId="0" xfId="0" applyNumberFormat="1" applyFont="1" applyBorder="1" applyAlignment="1">
      <alignment horizontal="left"/>
    </xf>
    <xf numFmtId="2" fontId="45" fillId="0" borderId="0" xfId="0" applyNumberFormat="1" applyFont="1" applyBorder="1"/>
    <xf numFmtId="0" fontId="45" fillId="0" borderId="0" xfId="0" applyFont="1" applyBorder="1"/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0" fillId="0" borderId="11" xfId="0" applyFill="1" applyBorder="1"/>
    <xf numFmtId="0" fontId="0" fillId="0" borderId="6" xfId="0" applyNumberFormat="1" applyFill="1" applyBorder="1"/>
    <xf numFmtId="0" fontId="10" fillId="6" borderId="0" xfId="0" applyFont="1" applyFill="1" applyBorder="1" applyAlignment="1"/>
    <xf numFmtId="0" fontId="0" fillId="0" borderId="0" xfId="0" applyBorder="1"/>
    <xf numFmtId="0" fontId="7" fillId="0" borderId="4" xfId="0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0" borderId="8" xfId="0" applyFont="1" applyBorder="1" applyAlignment="1">
      <alignment horizontal="center"/>
    </xf>
    <xf numFmtId="0" fontId="32" fillId="0" borderId="6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20" fillId="0" borderId="4" xfId="0" applyFont="1" applyFill="1" applyBorder="1"/>
    <xf numFmtId="0" fontId="0" fillId="0" borderId="0" xfId="0" applyNumberForma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48" fillId="0" borderId="4" xfId="0" applyFont="1" applyBorder="1"/>
    <xf numFmtId="0" fontId="0" fillId="5" borderId="3" xfId="0" applyFill="1" applyBorder="1"/>
    <xf numFmtId="164" fontId="0" fillId="5" borderId="2" xfId="0" applyNumberFormat="1" applyFill="1" applyBorder="1" applyAlignment="1">
      <alignment horizontal="center"/>
    </xf>
    <xf numFmtId="0" fontId="45" fillId="5" borderId="4" xfId="0" applyFont="1" applyFill="1" applyBorder="1"/>
    <xf numFmtId="0" fontId="0" fillId="5" borderId="11" xfId="0" applyFill="1" applyBorder="1"/>
    <xf numFmtId="164" fontId="0" fillId="5" borderId="16" xfId="0" applyNumberFormat="1" applyFill="1" applyBorder="1" applyAlignment="1">
      <alignment horizontal="center"/>
    </xf>
    <xf numFmtId="0" fontId="45" fillId="5" borderId="6" xfId="0" applyFont="1" applyFill="1" applyBorder="1"/>
    <xf numFmtId="164" fontId="0" fillId="5" borderId="3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14" fillId="5" borderId="4" xfId="0" applyNumberFormat="1" applyFont="1" applyFill="1" applyBorder="1" applyAlignment="1">
      <alignment horizontal="center"/>
    </xf>
    <xf numFmtId="2" fontId="14" fillId="5" borderId="6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0" fontId="1" fillId="0" borderId="4" xfId="0" applyFont="1" applyBorder="1"/>
    <xf numFmtId="164" fontId="0" fillId="5" borderId="4" xfId="0" applyNumberFormat="1" applyFill="1" applyBorder="1" applyAlignment="1">
      <alignment horizontal="center"/>
    </xf>
    <xf numFmtId="0" fontId="32" fillId="5" borderId="1" xfId="0" applyFont="1" applyFill="1" applyBorder="1"/>
    <xf numFmtId="0" fontId="0" fillId="0" borderId="0" xfId="0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5" borderId="4" xfId="0" applyFill="1" applyBorder="1"/>
    <xf numFmtId="0" fontId="32" fillId="5" borderId="4" xfId="0" applyNumberFormat="1" applyFont="1" applyFill="1" applyBorder="1"/>
    <xf numFmtId="0" fontId="0" fillId="5" borderId="6" xfId="0" applyFill="1" applyBorder="1"/>
    <xf numFmtId="164" fontId="0" fillId="5" borderId="6" xfId="0" applyNumberFormat="1" applyFill="1" applyBorder="1" applyAlignment="1">
      <alignment horizontal="center"/>
    </xf>
    <xf numFmtId="0" fontId="32" fillId="5" borderId="6" xfId="0" applyNumberFormat="1" applyFont="1" applyFill="1" applyBorder="1"/>
    <xf numFmtId="2" fontId="0" fillId="5" borderId="4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47" fillId="5" borderId="4" xfId="0" applyNumberFormat="1" applyFont="1" applyFill="1" applyBorder="1" applyAlignment="1">
      <alignment horizontal="center"/>
    </xf>
    <xf numFmtId="2" fontId="10" fillId="5" borderId="4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0" fontId="41" fillId="5" borderId="4" xfId="0" applyFont="1" applyFill="1" applyBorder="1"/>
    <xf numFmtId="2" fontId="41" fillId="5" borderId="4" xfId="0" applyNumberFormat="1" applyFont="1" applyFill="1" applyBorder="1" applyAlignment="1">
      <alignment horizontal="center"/>
    </xf>
    <xf numFmtId="2" fontId="49" fillId="5" borderId="4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0" fillId="5" borderId="3" xfId="0" applyFont="1" applyFill="1" applyBorder="1"/>
    <xf numFmtId="164" fontId="0" fillId="5" borderId="11" xfId="0" applyNumberFormat="1" applyFont="1" applyFill="1" applyBorder="1" applyAlignment="1">
      <alignment horizontal="center"/>
    </xf>
    <xf numFmtId="0" fontId="46" fillId="0" borderId="4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5" fillId="0" borderId="4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0" fillId="5" borderId="2" xfId="0" applyNumberFormat="1" applyFont="1" applyFill="1" applyBorder="1" applyAlignment="1">
      <alignment horizontal="center"/>
    </xf>
    <xf numFmtId="0" fontId="45" fillId="5" borderId="1" xfId="0" applyFont="1" applyFill="1" applyBorder="1"/>
    <xf numFmtId="164" fontId="0" fillId="5" borderId="16" xfId="0" applyNumberFormat="1" applyFont="1" applyFill="1" applyBorder="1" applyAlignment="1">
      <alignment horizontal="center"/>
    </xf>
    <xf numFmtId="0" fontId="45" fillId="5" borderId="12" xfId="0" applyFont="1" applyFill="1" applyBorder="1"/>
    <xf numFmtId="0" fontId="0" fillId="7" borderId="4" xfId="0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0" fontId="32" fillId="5" borderId="12" xfId="0" applyFont="1" applyFill="1" applyBorder="1"/>
    <xf numFmtId="2" fontId="10" fillId="5" borderId="6" xfId="0" applyNumberFormat="1" applyFont="1" applyFill="1" applyBorder="1" applyAlignment="1">
      <alignment horizontal="center"/>
    </xf>
    <xf numFmtId="0" fontId="0" fillId="5" borderId="2" xfId="0" applyFill="1" applyBorder="1"/>
    <xf numFmtId="0" fontId="32" fillId="5" borderId="4" xfId="0" applyFont="1" applyFill="1" applyBorder="1"/>
    <xf numFmtId="0" fontId="32" fillId="5" borderId="6" xfId="0" applyFont="1" applyFill="1" applyBorder="1"/>
    <xf numFmtId="164" fontId="0" fillId="5" borderId="1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/>
    </xf>
    <xf numFmtId="0" fontId="50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2" fillId="0" borderId="2" xfId="0" applyFont="1" applyFill="1" applyBorder="1"/>
    <xf numFmtId="2" fontId="0" fillId="0" borderId="8" xfId="0" applyNumberFormat="1" applyFill="1" applyBorder="1" applyAlignment="1">
      <alignment horizontal="center"/>
    </xf>
    <xf numFmtId="0" fontId="32" fillId="0" borderId="14" xfId="0" applyFont="1" applyFill="1" applyBorder="1"/>
    <xf numFmtId="0" fontId="33" fillId="0" borderId="0" xfId="0" applyFont="1" applyFill="1"/>
    <xf numFmtId="0" fontId="34" fillId="0" borderId="1" xfId="0" applyFont="1" applyFill="1" applyBorder="1"/>
    <xf numFmtId="0" fontId="42" fillId="0" borderId="0" xfId="0" applyFont="1" applyFill="1"/>
    <xf numFmtId="164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/>
    </xf>
    <xf numFmtId="0" fontId="45" fillId="0" borderId="1" xfId="0" applyFont="1" applyFill="1" applyBorder="1"/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vertical="top"/>
    </xf>
    <xf numFmtId="2" fontId="41" fillId="0" borderId="0" xfId="0" applyNumberFormat="1" applyFont="1" applyBorder="1" applyAlignment="1">
      <alignment horizontal="center"/>
    </xf>
    <xf numFmtId="2" fontId="45" fillId="0" borderId="15" xfId="0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2" fontId="45" fillId="0" borderId="0" xfId="0" applyNumberFormat="1" applyFont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0" fontId="48" fillId="5" borderId="4" xfId="0" applyNumberFormat="1" applyFont="1" applyFill="1" applyBorder="1"/>
    <xf numFmtId="2" fontId="32" fillId="0" borderId="4" xfId="0" applyNumberFormat="1" applyFont="1" applyFill="1" applyBorder="1" applyAlignment="1">
      <alignment horizontal="center"/>
    </xf>
    <xf numFmtId="0" fontId="45" fillId="0" borderId="0" xfId="0" applyFont="1" applyFill="1"/>
    <xf numFmtId="0" fontId="43" fillId="0" borderId="4" xfId="0" applyFont="1" applyFill="1" applyBorder="1"/>
    <xf numFmtId="0" fontId="32" fillId="0" borderId="12" xfId="0" applyFont="1" applyFill="1" applyBorder="1"/>
    <xf numFmtId="2" fontId="0" fillId="0" borderId="3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49" fontId="0" fillId="0" borderId="0" xfId="0" applyNumberFormat="1" applyFill="1" applyBorder="1"/>
    <xf numFmtId="0" fontId="14" fillId="0" borderId="0" xfId="0" applyFont="1" applyFill="1" applyBorder="1"/>
    <xf numFmtId="0" fontId="7" fillId="0" borderId="0" xfId="0" applyFont="1" applyFill="1" applyBorder="1"/>
    <xf numFmtId="0" fontId="32" fillId="0" borderId="0" xfId="0" applyFont="1" applyFill="1"/>
    <xf numFmtId="2" fontId="0" fillId="0" borderId="0" xfId="0" applyNumberFormat="1" applyFill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32" fillId="0" borderId="9" xfId="0" applyFont="1" applyBorder="1"/>
    <xf numFmtId="2" fontId="0" fillId="8" borderId="0" xfId="0" applyNumberFormat="1" applyFill="1" applyAlignment="1">
      <alignment horizontal="center"/>
    </xf>
    <xf numFmtId="0" fontId="0" fillId="8" borderId="0" xfId="0" applyFill="1"/>
    <xf numFmtId="0" fontId="0" fillId="9" borderId="0" xfId="0" applyFill="1"/>
    <xf numFmtId="2" fontId="0" fillId="9" borderId="0" xfId="0" applyNumberFormat="1" applyFill="1" applyAlignment="1">
      <alignment horizontal="center"/>
    </xf>
    <xf numFmtId="2" fontId="32" fillId="0" borderId="1" xfId="0" applyNumberFormat="1" applyFont="1" applyFill="1" applyBorder="1" applyAlignment="1">
      <alignment horizontal="center"/>
    </xf>
    <xf numFmtId="0" fontId="0" fillId="9" borderId="0" xfId="0" applyFill="1" applyBorder="1"/>
    <xf numFmtId="0" fontId="32" fillId="0" borderId="6" xfId="0" applyFont="1" applyBorder="1"/>
    <xf numFmtId="0" fontId="10" fillId="0" borderId="0" xfId="0" applyFont="1" applyFill="1" applyBorder="1" applyAlignment="1">
      <alignment horizontal="left"/>
    </xf>
    <xf numFmtId="164" fontId="51" fillId="0" borderId="4" xfId="0" applyNumberFormat="1" applyFont="1" applyBorder="1" applyAlignment="1">
      <alignment horizontal="center"/>
    </xf>
    <xf numFmtId="0" fontId="52" fillId="0" borderId="1" xfId="0" applyFont="1" applyBorder="1"/>
    <xf numFmtId="2" fontId="51" fillId="0" borderId="4" xfId="0" applyNumberFormat="1" applyFont="1" applyBorder="1" applyAlignment="1">
      <alignment horizontal="center"/>
    </xf>
    <xf numFmtId="0" fontId="52" fillId="0" borderId="4" xfId="0" applyFont="1" applyBorder="1"/>
    <xf numFmtId="0" fontId="51" fillId="0" borderId="3" xfId="0" applyFont="1" applyFill="1" applyBorder="1"/>
    <xf numFmtId="2" fontId="51" fillId="0" borderId="4" xfId="0" applyNumberFormat="1" applyFont="1" applyFill="1" applyBorder="1" applyAlignment="1">
      <alignment horizontal="center"/>
    </xf>
    <xf numFmtId="0" fontId="51" fillId="0" borderId="4" xfId="0" applyFont="1" applyBorder="1" applyAlignment="1">
      <alignment horizontal="center"/>
    </xf>
    <xf numFmtId="2" fontId="53" fillId="0" borderId="4" xfId="0" applyNumberFormat="1" applyFont="1" applyBorder="1" applyAlignment="1">
      <alignment horizontal="center"/>
    </xf>
    <xf numFmtId="164" fontId="51" fillId="0" borderId="4" xfId="0" applyNumberFormat="1" applyFont="1" applyFill="1" applyBorder="1" applyAlignment="1">
      <alignment horizontal="center" vertical="center"/>
    </xf>
    <xf numFmtId="0" fontId="52" fillId="0" borderId="4" xfId="0" applyFont="1" applyFill="1" applyBorder="1"/>
    <xf numFmtId="0" fontId="51" fillId="0" borderId="4" xfId="0" applyFont="1" applyFill="1" applyBorder="1"/>
    <xf numFmtId="0" fontId="51" fillId="0" borderId="4" xfId="0" applyFont="1" applyBorder="1"/>
    <xf numFmtId="164" fontId="51" fillId="0" borderId="4" xfId="0" applyNumberFormat="1" applyFont="1" applyFill="1" applyBorder="1" applyAlignment="1">
      <alignment horizontal="center"/>
    </xf>
    <xf numFmtId="0" fontId="54" fillId="0" borderId="4" xfId="0" applyFont="1" applyFill="1" applyBorder="1"/>
    <xf numFmtId="0" fontId="52" fillId="0" borderId="1" xfId="0" applyFont="1" applyFill="1" applyBorder="1"/>
    <xf numFmtId="0" fontId="54" fillId="0" borderId="4" xfId="0" applyFont="1" applyBorder="1"/>
    <xf numFmtId="0" fontId="52" fillId="0" borderId="4" xfId="0" applyNumberFormat="1" applyFont="1" applyFill="1" applyBorder="1"/>
    <xf numFmtId="2" fontId="53" fillId="0" borderId="4" xfId="0" applyNumberFormat="1" applyFont="1" applyFill="1" applyBorder="1" applyAlignment="1">
      <alignment horizontal="center"/>
    </xf>
    <xf numFmtId="0" fontId="52" fillId="0" borderId="6" xfId="0" applyNumberFormat="1" applyFont="1" applyFill="1" applyBorder="1"/>
    <xf numFmtId="2" fontId="55" fillId="0" borderId="4" xfId="0" applyNumberFormat="1" applyFont="1" applyFill="1" applyBorder="1" applyAlignment="1">
      <alignment horizontal="center"/>
    </xf>
    <xf numFmtId="0" fontId="0" fillId="0" borderId="1" xfId="0" applyFill="1" applyBorder="1"/>
    <xf numFmtId="0" fontId="20" fillId="0" borderId="1" xfId="0" applyFont="1" applyBorder="1"/>
    <xf numFmtId="0" fontId="32" fillId="0" borderId="9" xfId="0" applyFont="1" applyFill="1" applyBorder="1"/>
    <xf numFmtId="0" fontId="39" fillId="0" borderId="4" xfId="0" applyFont="1" applyBorder="1"/>
    <xf numFmtId="0" fontId="31" fillId="0" borderId="4" xfId="0" applyFont="1" applyFill="1" applyBorder="1"/>
    <xf numFmtId="0" fontId="20" fillId="0" borderId="1" xfId="0" applyFont="1" applyFill="1" applyBorder="1"/>
    <xf numFmtId="0" fontId="20" fillId="0" borderId="9" xfId="0" applyFont="1" applyFill="1" applyBorder="1"/>
    <xf numFmtId="0" fontId="41" fillId="0" borderId="1" xfId="0" applyFont="1" applyFill="1" applyBorder="1" applyAlignment="1">
      <alignment horizontal="left"/>
    </xf>
    <xf numFmtId="0" fontId="0" fillId="0" borderId="3" xfId="0" applyBorder="1"/>
    <xf numFmtId="0" fontId="0" fillId="0" borderId="1" xfId="0" applyBorder="1"/>
    <xf numFmtId="0" fontId="20" fillId="0" borderId="3" xfId="0" applyFont="1" applyFill="1" applyBorder="1"/>
    <xf numFmtId="0" fontId="0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2" fontId="32" fillId="0" borderId="0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ont="1" applyBorder="1"/>
    <xf numFmtId="0" fontId="44" fillId="0" borderId="4" xfId="0" applyFont="1" applyBorder="1"/>
    <xf numFmtId="0" fontId="0" fillId="0" borderId="6" xfId="0" applyBorder="1"/>
    <xf numFmtId="0" fontId="20" fillId="0" borderId="6" xfId="0" applyFont="1" applyBorder="1"/>
    <xf numFmtId="0" fontId="35" fillId="0" borderId="1" xfId="0" applyFont="1" applyBorder="1"/>
    <xf numFmtId="0" fontId="51" fillId="7" borderId="4" xfId="0" applyFont="1" applyFill="1" applyBorder="1" applyAlignment="1">
      <alignment horizontal="center"/>
    </xf>
    <xf numFmtId="0" fontId="35" fillId="0" borderId="4" xfId="0" applyFont="1" applyBorder="1"/>
    <xf numFmtId="0" fontId="35" fillId="0" borderId="1" xfId="0" applyFont="1" applyFill="1" applyBorder="1"/>
    <xf numFmtId="2" fontId="51" fillId="0" borderId="6" xfId="0" applyNumberFormat="1" applyFont="1" applyFill="1" applyBorder="1" applyAlignment="1">
      <alignment horizontal="center"/>
    </xf>
    <xf numFmtId="2" fontId="56" fillId="0" borderId="4" xfId="0" applyNumberFormat="1" applyFont="1" applyFill="1" applyBorder="1" applyAlignment="1">
      <alignment horizontal="center"/>
    </xf>
    <xf numFmtId="2" fontId="0" fillId="0" borderId="0" xfId="0" applyNumberFormat="1" applyFill="1"/>
    <xf numFmtId="2" fontId="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164" fontId="51" fillId="0" borderId="0" xfId="0" applyNumberFormat="1" applyFont="1" applyFill="1" applyBorder="1" applyAlignment="1">
      <alignment horizontal="center"/>
    </xf>
    <xf numFmtId="0" fontId="52" fillId="0" borderId="0" xfId="0" applyFont="1" applyFill="1" applyBorder="1"/>
    <xf numFmtId="2" fontId="51" fillId="0" borderId="0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5" fillId="0" borderId="4" xfId="0" applyNumberFormat="1" applyFont="1" applyFill="1" applyBorder="1"/>
    <xf numFmtId="0" fontId="22" fillId="0" borderId="0" xfId="0" applyFont="1" applyAlignment="1">
      <alignment vertical="center" wrapText="1"/>
    </xf>
    <xf numFmtId="0" fontId="51" fillId="5" borderId="2" xfId="0" applyFont="1" applyFill="1" applyBorder="1"/>
    <xf numFmtId="164" fontId="51" fillId="5" borderId="6" xfId="0" applyNumberFormat="1" applyFont="1" applyFill="1" applyBorder="1" applyAlignment="1">
      <alignment horizontal="center"/>
    </xf>
    <xf numFmtId="0" fontId="35" fillId="5" borderId="6" xfId="0" applyFont="1" applyFill="1" applyBorder="1"/>
    <xf numFmtId="2" fontId="51" fillId="5" borderId="4" xfId="0" applyNumberFormat="1" applyFont="1" applyFill="1" applyBorder="1" applyAlignment="1">
      <alignment horizontal="center"/>
    </xf>
    <xf numFmtId="2" fontId="55" fillId="5" borderId="6" xfId="0" applyNumberFormat="1" applyFont="1" applyFill="1" applyBorder="1" applyAlignment="1">
      <alignment horizontal="center"/>
    </xf>
    <xf numFmtId="49" fontId="5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Alignment="1"/>
    <xf numFmtId="0" fontId="9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0" fillId="0" borderId="3" xfId="0" applyBorder="1" applyAlignment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6537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0" builtinId="9" hidden="1"/>
    <cellStyle name="Followed Hyperlink" xfId="3531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5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1" builtinId="9" hidden="1"/>
    <cellStyle name="Followed Hyperlink" xfId="3832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56" builtinId="9" hidden="1"/>
    <cellStyle name="Followed Hyperlink" xfId="4057" builtinId="9" hidden="1"/>
    <cellStyle name="Followed Hyperlink" xfId="4058" builtinId="9" hidden="1"/>
    <cellStyle name="Followed Hyperlink" xfId="4059" builtinId="9" hidden="1"/>
    <cellStyle name="Followed Hyperlink" xfId="4060" builtinId="9" hidden="1"/>
    <cellStyle name="Followed Hyperlink" xfId="4061" builtinId="9" hidden="1"/>
    <cellStyle name="Followed Hyperlink" xfId="4062" builtinId="9" hidden="1"/>
    <cellStyle name="Followed Hyperlink" xfId="4063" builtinId="9" hidden="1"/>
    <cellStyle name="Followed Hyperlink" xfId="4064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0" builtinId="9" hidden="1"/>
    <cellStyle name="Followed Hyperlink" xfId="4141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4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30" builtinId="9" hidden="1"/>
    <cellStyle name="Followed Hyperlink" xfId="4932" builtinId="9" hidden="1"/>
    <cellStyle name="Followed Hyperlink" xfId="4934" builtinId="9" hidden="1"/>
    <cellStyle name="Followed Hyperlink" xfId="4936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54" builtinId="9" hidden="1"/>
    <cellStyle name="Followed Hyperlink" xfId="5156" builtinId="9" hidden="1"/>
    <cellStyle name="Followed Hyperlink" xfId="5158" builtinId="9" hidden="1"/>
    <cellStyle name="Followed Hyperlink" xfId="5160" builtinId="9" hidden="1"/>
    <cellStyle name="Followed Hyperlink" xfId="5162" builtinId="9" hidden="1"/>
    <cellStyle name="Followed Hyperlink" xfId="5164" builtinId="9" hidden="1"/>
    <cellStyle name="Followed Hyperlink" xfId="5166" builtinId="9" hidden="1"/>
    <cellStyle name="Followed Hyperlink" xfId="5168" builtinId="9" hidden="1"/>
    <cellStyle name="Followed Hyperlink" xfId="5170" builtinId="9" hidden="1"/>
    <cellStyle name="Followed Hyperlink" xfId="5172" builtinId="9" hidden="1"/>
    <cellStyle name="Followed Hyperlink" xfId="5174" builtinId="9" hidden="1"/>
    <cellStyle name="Followed Hyperlink" xfId="5176" builtinId="9" hidden="1"/>
    <cellStyle name="Followed Hyperlink" xfId="5178" builtinId="9" hidden="1"/>
    <cellStyle name="Followed Hyperlink" xfId="5180" builtinId="9" hidden="1"/>
    <cellStyle name="Followed Hyperlink" xfId="5182" builtinId="9" hidden="1"/>
    <cellStyle name="Followed Hyperlink" xfId="5184" builtinId="9" hidden="1"/>
    <cellStyle name="Followed Hyperlink" xfId="5186" builtinId="9" hidden="1"/>
    <cellStyle name="Followed Hyperlink" xfId="5188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34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56" builtinId="9" hidden="1"/>
    <cellStyle name="Followed Hyperlink" xfId="5458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10" builtinId="9" hidden="1"/>
    <cellStyle name="Followed Hyperlink" xfId="5912" builtinId="9" hidden="1"/>
    <cellStyle name="Followed Hyperlink" xfId="5914" builtinId="9" hidden="1"/>
    <cellStyle name="Followed Hyperlink" xfId="5916" builtinId="9" hidden="1"/>
    <cellStyle name="Followed Hyperlink" xfId="5918" builtinId="9" hidden="1"/>
    <cellStyle name="Followed Hyperlink" xfId="5920" builtinId="9" hidden="1"/>
    <cellStyle name="Followed Hyperlink" xfId="5922" builtinId="9" hidden="1"/>
    <cellStyle name="Followed Hyperlink" xfId="5924" builtinId="9" hidden="1"/>
    <cellStyle name="Followed Hyperlink" xfId="5926" builtinId="9" hidden="1"/>
    <cellStyle name="Followed Hyperlink" xfId="5928" builtinId="9" hidden="1"/>
    <cellStyle name="Followed Hyperlink" xfId="5930" builtinId="9" hidden="1"/>
    <cellStyle name="Followed Hyperlink" xfId="5932" builtinId="9" hidden="1"/>
    <cellStyle name="Followed Hyperlink" xfId="5934" builtinId="9" hidden="1"/>
    <cellStyle name="Followed Hyperlink" xfId="5936" builtinId="9" hidden="1"/>
    <cellStyle name="Followed Hyperlink" xfId="5938" builtinId="9" hidden="1"/>
    <cellStyle name="Followed Hyperlink" xfId="5940" builtinId="9" hidden="1"/>
    <cellStyle name="Followed Hyperlink" xfId="5942" builtinId="9" hidden="1"/>
    <cellStyle name="Followed Hyperlink" xfId="5944" builtinId="9" hidden="1"/>
    <cellStyle name="Followed Hyperlink" xfId="5946" builtinId="9" hidden="1"/>
    <cellStyle name="Followed Hyperlink" xfId="5948" builtinId="9" hidden="1"/>
    <cellStyle name="Followed Hyperlink" xfId="5950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8" builtinId="9" hidden="1"/>
    <cellStyle name="Followed Hyperlink" xfId="6240" builtinId="9" hidden="1"/>
    <cellStyle name="Followed Hyperlink" xfId="6242" builtinId="9" hidden="1"/>
    <cellStyle name="Followed Hyperlink" xfId="6244" builtinId="9" hidden="1"/>
    <cellStyle name="Followed Hyperlink" xfId="6246" builtinId="9" hidden="1"/>
    <cellStyle name="Followed Hyperlink" xfId="6248" builtinId="9" hidden="1"/>
    <cellStyle name="Followed Hyperlink" xfId="6250" builtinId="9" hidden="1"/>
    <cellStyle name="Followed Hyperlink" xfId="6252" builtinId="9" hidden="1"/>
    <cellStyle name="Followed Hyperlink" xfId="6254" builtinId="9" hidden="1"/>
    <cellStyle name="Followed Hyperlink" xfId="6256" builtinId="9" hidden="1"/>
    <cellStyle name="Followed Hyperlink" xfId="6258" builtinId="9" hidden="1"/>
    <cellStyle name="Followed Hyperlink" xfId="6260" builtinId="9" hidden="1"/>
    <cellStyle name="Followed Hyperlink" xfId="6262" builtinId="9" hidden="1"/>
    <cellStyle name="Followed Hyperlink" xfId="6264" builtinId="9" hidden="1"/>
    <cellStyle name="Followed Hyperlink" xfId="6266" builtinId="9" hidden="1"/>
    <cellStyle name="Followed Hyperlink" xfId="6268" builtinId="9" hidden="1"/>
    <cellStyle name="Followed Hyperlink" xfId="6270" builtinId="9" hidden="1"/>
    <cellStyle name="Followed Hyperlink" xfId="6272" builtinId="9" hidden="1"/>
    <cellStyle name="Followed Hyperlink" xfId="6274" builtinId="9" hidden="1"/>
    <cellStyle name="Followed Hyperlink" xfId="6276" builtinId="9" hidden="1"/>
    <cellStyle name="Followed Hyperlink" xfId="6278" builtinId="9" hidden="1"/>
    <cellStyle name="Followed Hyperlink" xfId="6280" builtinId="9" hidden="1"/>
    <cellStyle name="Followed Hyperlink" xfId="6282" builtinId="9" hidden="1"/>
    <cellStyle name="Followed Hyperlink" xfId="6284" builtinId="9" hidden="1"/>
    <cellStyle name="Followed Hyperlink" xfId="6286" builtinId="9" hidden="1"/>
    <cellStyle name="Followed Hyperlink" xfId="6288" builtinId="9" hidden="1"/>
    <cellStyle name="Followed Hyperlink" xfId="6290" builtinId="9" hidden="1"/>
    <cellStyle name="Followed Hyperlink" xfId="6292" builtinId="9" hidden="1"/>
    <cellStyle name="Followed Hyperlink" xfId="6294" builtinId="9" hidden="1"/>
    <cellStyle name="Followed Hyperlink" xfId="6296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0" builtinId="9" hidden="1"/>
    <cellStyle name="Followed Hyperlink" xfId="6312" builtinId="9" hidden="1"/>
    <cellStyle name="Followed Hyperlink" xfId="6314" builtinId="9" hidden="1"/>
    <cellStyle name="Followed Hyperlink" xfId="6316" builtinId="9" hidden="1"/>
    <cellStyle name="Followed Hyperlink" xfId="6318" builtinId="9" hidden="1"/>
    <cellStyle name="Followed Hyperlink" xfId="6320" builtinId="9" hidden="1"/>
    <cellStyle name="Followed Hyperlink" xfId="6322" builtinId="9" hidden="1"/>
    <cellStyle name="Followed Hyperlink" xfId="6324" builtinId="9" hidden="1"/>
    <cellStyle name="Followed Hyperlink" xfId="6326" builtinId="9" hidden="1"/>
    <cellStyle name="Followed Hyperlink" xfId="6328" builtinId="9" hidden="1"/>
    <cellStyle name="Followed Hyperlink" xfId="6330" builtinId="9" hidden="1"/>
    <cellStyle name="Followed Hyperlink" xfId="6332" builtinId="9" hidden="1"/>
    <cellStyle name="Followed Hyperlink" xfId="6334" builtinId="9" hidden="1"/>
    <cellStyle name="Followed Hyperlink" xfId="6336" builtinId="9" hidden="1"/>
    <cellStyle name="Followed Hyperlink" xfId="6338" builtinId="9" hidden="1"/>
    <cellStyle name="Followed Hyperlink" xfId="6340" builtinId="9" hidden="1"/>
    <cellStyle name="Followed Hyperlink" xfId="6342" builtinId="9" hidden="1"/>
    <cellStyle name="Followed Hyperlink" xfId="6344" builtinId="9" hidden="1"/>
    <cellStyle name="Followed Hyperlink" xfId="6346" builtinId="9" hidden="1"/>
    <cellStyle name="Followed Hyperlink" xfId="6348" builtinId="9" hidden="1"/>
    <cellStyle name="Followed Hyperlink" xfId="6350" builtinId="9" hidden="1"/>
    <cellStyle name="Followed Hyperlink" xfId="6352" builtinId="9" hidden="1"/>
    <cellStyle name="Followed Hyperlink" xfId="6354" builtinId="9" hidden="1"/>
    <cellStyle name="Followed Hyperlink" xfId="6356" builtinId="9" hidden="1"/>
    <cellStyle name="Followed Hyperlink" xfId="6358" builtinId="9" hidden="1"/>
    <cellStyle name="Followed Hyperlink" xfId="6360" builtinId="9" hidden="1"/>
    <cellStyle name="Followed Hyperlink" xfId="6362" builtinId="9" hidden="1"/>
    <cellStyle name="Followed Hyperlink" xfId="6364" builtinId="9" hidden="1"/>
    <cellStyle name="Followed Hyperlink" xfId="6366" builtinId="9" hidden="1"/>
    <cellStyle name="Followed Hyperlink" xfId="6368" builtinId="9" hidden="1"/>
    <cellStyle name="Followed Hyperlink" xfId="6370" builtinId="9" hidden="1"/>
    <cellStyle name="Followed Hyperlink" xfId="6372" builtinId="9" hidden="1"/>
    <cellStyle name="Followed Hyperlink" xfId="6374" builtinId="9" hidden="1"/>
    <cellStyle name="Followed Hyperlink" xfId="6376" builtinId="9" hidden="1"/>
    <cellStyle name="Followed Hyperlink" xfId="6378" builtinId="9" hidden="1"/>
    <cellStyle name="Followed Hyperlink" xfId="6380" builtinId="9" hidden="1"/>
    <cellStyle name="Followed Hyperlink" xfId="6382" builtinId="9" hidden="1"/>
    <cellStyle name="Followed Hyperlink" xfId="6384" builtinId="9" hidden="1"/>
    <cellStyle name="Followed Hyperlink" xfId="6386" builtinId="9" hidden="1"/>
    <cellStyle name="Followed Hyperlink" xfId="6388" builtinId="9" hidden="1"/>
    <cellStyle name="Followed Hyperlink" xfId="6390" builtinId="9" hidden="1"/>
    <cellStyle name="Followed Hyperlink" xfId="6392" builtinId="9" hidden="1"/>
    <cellStyle name="Followed Hyperlink" xfId="6394" builtinId="9" hidden="1"/>
    <cellStyle name="Followed Hyperlink" xfId="6396" builtinId="9" hidden="1"/>
    <cellStyle name="Followed Hyperlink" xfId="6398" builtinId="9" hidden="1"/>
    <cellStyle name="Followed Hyperlink" xfId="6400" builtinId="9" hidden="1"/>
    <cellStyle name="Followed Hyperlink" xfId="6402" builtinId="9" hidden="1"/>
    <cellStyle name="Followed Hyperlink" xfId="6404" builtinId="9" hidden="1"/>
    <cellStyle name="Followed Hyperlink" xfId="6406" builtinId="9" hidden="1"/>
    <cellStyle name="Followed Hyperlink" xfId="6408" builtinId="9" hidden="1"/>
    <cellStyle name="Followed Hyperlink" xfId="6410" builtinId="9" hidden="1"/>
    <cellStyle name="Followed Hyperlink" xfId="6412" builtinId="9" hidden="1"/>
    <cellStyle name="Followed Hyperlink" xfId="6414" builtinId="9" hidden="1"/>
    <cellStyle name="Followed Hyperlink" xfId="6416" builtinId="9" hidden="1"/>
    <cellStyle name="Followed Hyperlink" xfId="6418" builtinId="9" hidden="1"/>
    <cellStyle name="Followed Hyperlink" xfId="6420" builtinId="9" hidden="1"/>
    <cellStyle name="Followed Hyperlink" xfId="6422" builtinId="9" hidden="1"/>
    <cellStyle name="Followed Hyperlink" xfId="6424" builtinId="9" hidden="1"/>
    <cellStyle name="Followed Hyperlink" xfId="6426" builtinId="9" hidden="1"/>
    <cellStyle name="Followed Hyperlink" xfId="6428" builtinId="9" hidden="1"/>
    <cellStyle name="Followed Hyperlink" xfId="6430" builtinId="9" hidden="1"/>
    <cellStyle name="Followed Hyperlink" xfId="6432" builtinId="9" hidden="1"/>
    <cellStyle name="Followed Hyperlink" xfId="6434" builtinId="9" hidden="1"/>
    <cellStyle name="Followed Hyperlink" xfId="6436" builtinId="9" hidden="1"/>
    <cellStyle name="Followed Hyperlink" xfId="6438" builtinId="9" hidden="1"/>
    <cellStyle name="Followed Hyperlink" xfId="6440" builtinId="9" hidden="1"/>
    <cellStyle name="Followed Hyperlink" xfId="6442" builtinId="9" hidden="1"/>
    <cellStyle name="Followed Hyperlink" xfId="6444" builtinId="9" hidden="1"/>
    <cellStyle name="Followed Hyperlink" xfId="6446" builtinId="9" hidden="1"/>
    <cellStyle name="Followed Hyperlink" xfId="6448" builtinId="9" hidden="1"/>
    <cellStyle name="Followed Hyperlink" xfId="6450" builtinId="9" hidden="1"/>
    <cellStyle name="Followed Hyperlink" xfId="6452" builtinId="9" hidden="1"/>
    <cellStyle name="Followed Hyperlink" xfId="6454" builtinId="9" hidden="1"/>
    <cellStyle name="Followed Hyperlink" xfId="6456" builtinId="9" hidden="1"/>
    <cellStyle name="Followed Hyperlink" xfId="6458" builtinId="9" hidden="1"/>
    <cellStyle name="Followed Hyperlink" xfId="6460" builtinId="9" hidden="1"/>
    <cellStyle name="Followed Hyperlink" xfId="6462" builtinId="9" hidden="1"/>
    <cellStyle name="Followed Hyperlink" xfId="64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7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1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53" builtinId="8" hidden="1"/>
    <cellStyle name="Hyperlink" xfId="5155" builtinId="8" hidden="1"/>
    <cellStyle name="Hyperlink" xfId="5157" builtinId="8" hidden="1"/>
    <cellStyle name="Hyperlink" xfId="5159" builtinId="8" hidden="1"/>
    <cellStyle name="Hyperlink" xfId="5161" builtinId="8" hidden="1"/>
    <cellStyle name="Hyperlink" xfId="5163" builtinId="8" hidden="1"/>
    <cellStyle name="Hyperlink" xfId="5165" builtinId="8" hidden="1"/>
    <cellStyle name="Hyperlink" xfId="5167" builtinId="8" hidden="1"/>
    <cellStyle name="Hyperlink" xfId="5169" builtinId="8" hidden="1"/>
    <cellStyle name="Hyperlink" xfId="5171" builtinId="8" hidden="1"/>
    <cellStyle name="Hyperlink" xfId="5173" builtinId="8" hidden="1"/>
    <cellStyle name="Hyperlink" xfId="5175" builtinId="8" hidden="1"/>
    <cellStyle name="Hyperlink" xfId="5177" builtinId="8" hidden="1"/>
    <cellStyle name="Hyperlink" xfId="5179" builtinId="8" hidden="1"/>
    <cellStyle name="Hyperlink" xfId="5181" builtinId="8" hidden="1"/>
    <cellStyle name="Hyperlink" xfId="5183" builtinId="8" hidden="1"/>
    <cellStyle name="Hyperlink" xfId="5185" builtinId="8" hidden="1"/>
    <cellStyle name="Hyperlink" xfId="5187" builtinId="8" hidden="1"/>
    <cellStyle name="Hyperlink" xfId="5189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59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5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3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7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5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3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09" builtinId="8" hidden="1"/>
    <cellStyle name="Hyperlink" xfId="5911" builtinId="8" hidden="1"/>
    <cellStyle name="Hyperlink" xfId="5913" builtinId="8" hidden="1"/>
    <cellStyle name="Hyperlink" xfId="5915" builtinId="8" hidden="1"/>
    <cellStyle name="Hyperlink" xfId="5917" builtinId="8" hidden="1"/>
    <cellStyle name="Hyperlink" xfId="5919" builtinId="8" hidden="1"/>
    <cellStyle name="Hyperlink" xfId="5921" builtinId="8" hidden="1"/>
    <cellStyle name="Hyperlink" xfId="5923" builtinId="8" hidden="1"/>
    <cellStyle name="Hyperlink" xfId="5925" builtinId="8" hidden="1"/>
    <cellStyle name="Hyperlink" xfId="5927" builtinId="8" hidden="1"/>
    <cellStyle name="Hyperlink" xfId="5929" builtinId="8" hidden="1"/>
    <cellStyle name="Hyperlink" xfId="5931" builtinId="8" hidden="1"/>
    <cellStyle name="Hyperlink" xfId="5933" builtinId="8" hidden="1"/>
    <cellStyle name="Hyperlink" xfId="5935" builtinId="8" hidden="1"/>
    <cellStyle name="Hyperlink" xfId="5937" builtinId="8" hidden="1"/>
    <cellStyle name="Hyperlink" xfId="5939" builtinId="8" hidden="1"/>
    <cellStyle name="Hyperlink" xfId="5941" builtinId="8" hidden="1"/>
    <cellStyle name="Hyperlink" xfId="5943" builtinId="8" hidden="1"/>
    <cellStyle name="Hyperlink" xfId="5945" builtinId="8" hidden="1"/>
    <cellStyle name="Hyperlink" xfId="5947" builtinId="8" hidden="1"/>
    <cellStyle name="Hyperlink" xfId="5949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5" builtinId="8" hidden="1"/>
    <cellStyle name="Hyperlink" xfId="6237" builtinId="8" hidden="1"/>
    <cellStyle name="Hyperlink" xfId="6239" builtinId="8" hidden="1"/>
    <cellStyle name="Hyperlink" xfId="6241" builtinId="8" hidden="1"/>
    <cellStyle name="Hyperlink" xfId="6243" builtinId="8" hidden="1"/>
    <cellStyle name="Hyperlink" xfId="6245" builtinId="8" hidden="1"/>
    <cellStyle name="Hyperlink" xfId="6247" builtinId="8" hidden="1"/>
    <cellStyle name="Hyperlink" xfId="6249" builtinId="8" hidden="1"/>
    <cellStyle name="Hyperlink" xfId="6251" builtinId="8" hidden="1"/>
    <cellStyle name="Hyperlink" xfId="6253" builtinId="8" hidden="1"/>
    <cellStyle name="Hyperlink" xfId="6255" builtinId="8" hidden="1"/>
    <cellStyle name="Hyperlink" xfId="6257" builtinId="8" hidden="1"/>
    <cellStyle name="Hyperlink" xfId="6259" builtinId="8" hidden="1"/>
    <cellStyle name="Hyperlink" xfId="6261" builtinId="8" hidden="1"/>
    <cellStyle name="Hyperlink" xfId="6263" builtinId="8" hidden="1"/>
    <cellStyle name="Hyperlink" xfId="6265" builtinId="8" hidden="1"/>
    <cellStyle name="Hyperlink" xfId="6267" builtinId="8" hidden="1"/>
    <cellStyle name="Hyperlink" xfId="6269" builtinId="8" hidden="1"/>
    <cellStyle name="Hyperlink" xfId="6271" builtinId="8" hidden="1"/>
    <cellStyle name="Hyperlink" xfId="6273" builtinId="8" hidden="1"/>
    <cellStyle name="Hyperlink" xfId="6275" builtinId="8" hidden="1"/>
    <cellStyle name="Hyperlink" xfId="6277" builtinId="8" hidden="1"/>
    <cellStyle name="Hyperlink" xfId="6279" builtinId="8" hidden="1"/>
    <cellStyle name="Hyperlink" xfId="6281" builtinId="8" hidden="1"/>
    <cellStyle name="Hyperlink" xfId="6283" builtinId="8" hidden="1"/>
    <cellStyle name="Hyperlink" xfId="6285" builtinId="8" hidden="1"/>
    <cellStyle name="Hyperlink" xfId="6287" builtinId="8" hidden="1"/>
    <cellStyle name="Hyperlink" xfId="6289" builtinId="8" hidden="1"/>
    <cellStyle name="Hyperlink" xfId="6291" builtinId="8" hidden="1"/>
    <cellStyle name="Hyperlink" xfId="6293" builtinId="8" hidden="1"/>
    <cellStyle name="Hyperlink" xfId="6295" builtinId="8" hidden="1"/>
    <cellStyle name="Hyperlink" xfId="6297" builtinId="8" hidden="1"/>
    <cellStyle name="Hyperlink" xfId="6299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7" builtinId="8" hidden="1"/>
    <cellStyle name="Hyperlink" xfId="6309" builtinId="8" hidden="1"/>
    <cellStyle name="Hyperlink" xfId="6311" builtinId="8" hidden="1"/>
    <cellStyle name="Hyperlink" xfId="6313" builtinId="8" hidden="1"/>
    <cellStyle name="Hyperlink" xfId="6315" builtinId="8" hidden="1"/>
    <cellStyle name="Hyperlink" xfId="6317" builtinId="8" hidden="1"/>
    <cellStyle name="Hyperlink" xfId="6319" builtinId="8" hidden="1"/>
    <cellStyle name="Hyperlink" xfId="6321" builtinId="8" hidden="1"/>
    <cellStyle name="Hyperlink" xfId="6323" builtinId="8" hidden="1"/>
    <cellStyle name="Hyperlink" xfId="6325" builtinId="8" hidden="1"/>
    <cellStyle name="Hyperlink" xfId="6327" builtinId="8" hidden="1"/>
    <cellStyle name="Hyperlink" xfId="6329" builtinId="8" hidden="1"/>
    <cellStyle name="Hyperlink" xfId="6331" builtinId="8" hidden="1"/>
    <cellStyle name="Hyperlink" xfId="6333" builtinId="8" hidden="1"/>
    <cellStyle name="Hyperlink" xfId="6335" builtinId="8" hidden="1"/>
    <cellStyle name="Hyperlink" xfId="6337" builtinId="8" hidden="1"/>
    <cellStyle name="Hyperlink" xfId="6339" builtinId="8" hidden="1"/>
    <cellStyle name="Hyperlink" xfId="6341" builtinId="8" hidden="1"/>
    <cellStyle name="Hyperlink" xfId="6343" builtinId="8" hidden="1"/>
    <cellStyle name="Hyperlink" xfId="6345" builtinId="8" hidden="1"/>
    <cellStyle name="Hyperlink" xfId="6347" builtinId="8" hidden="1"/>
    <cellStyle name="Hyperlink" xfId="6349" builtinId="8" hidden="1"/>
    <cellStyle name="Hyperlink" xfId="6351" builtinId="8" hidden="1"/>
    <cellStyle name="Hyperlink" xfId="6353" builtinId="8" hidden="1"/>
    <cellStyle name="Hyperlink" xfId="6355" builtinId="8" hidden="1"/>
    <cellStyle name="Hyperlink" xfId="6357" builtinId="8" hidden="1"/>
    <cellStyle name="Hyperlink" xfId="6359" builtinId="8" hidden="1"/>
    <cellStyle name="Hyperlink" xfId="6361" builtinId="8" hidden="1"/>
    <cellStyle name="Hyperlink" xfId="6363" builtinId="8" hidden="1"/>
    <cellStyle name="Hyperlink" xfId="6365" builtinId="8" hidden="1"/>
    <cellStyle name="Hyperlink" xfId="6367" builtinId="8" hidden="1"/>
    <cellStyle name="Hyperlink" xfId="6369" builtinId="8" hidden="1"/>
    <cellStyle name="Hyperlink" xfId="6371" builtinId="8" hidden="1"/>
    <cellStyle name="Hyperlink" xfId="6373" builtinId="8" hidden="1"/>
    <cellStyle name="Hyperlink" xfId="6375" builtinId="8" hidden="1"/>
    <cellStyle name="Hyperlink" xfId="6377" builtinId="8" hidden="1"/>
    <cellStyle name="Hyperlink" xfId="6379" builtinId="8" hidden="1"/>
    <cellStyle name="Hyperlink" xfId="6381" builtinId="8" hidden="1"/>
    <cellStyle name="Hyperlink" xfId="6383" builtinId="8" hidden="1"/>
    <cellStyle name="Hyperlink" xfId="6385" builtinId="8" hidden="1"/>
    <cellStyle name="Hyperlink" xfId="6387" builtinId="8" hidden="1"/>
    <cellStyle name="Hyperlink" xfId="6389" builtinId="8" hidden="1"/>
    <cellStyle name="Hyperlink" xfId="6391" builtinId="8" hidden="1"/>
    <cellStyle name="Hyperlink" xfId="6393" builtinId="8" hidden="1"/>
    <cellStyle name="Hyperlink" xfId="6395" builtinId="8" hidden="1"/>
    <cellStyle name="Hyperlink" xfId="6397" builtinId="8" hidden="1"/>
    <cellStyle name="Hyperlink" xfId="6399" builtinId="8" hidden="1"/>
    <cellStyle name="Hyperlink" xfId="6401" builtinId="8" hidden="1"/>
    <cellStyle name="Hyperlink" xfId="6403" builtinId="8" hidden="1"/>
    <cellStyle name="Hyperlink" xfId="6405" builtinId="8" hidden="1"/>
    <cellStyle name="Hyperlink" xfId="6407" builtinId="8" hidden="1"/>
    <cellStyle name="Hyperlink" xfId="6409" builtinId="8" hidden="1"/>
    <cellStyle name="Hyperlink" xfId="6411" builtinId="8" hidden="1"/>
    <cellStyle name="Hyperlink" xfId="6413" builtinId="8" hidden="1"/>
    <cellStyle name="Hyperlink" xfId="6415" builtinId="8" hidden="1"/>
    <cellStyle name="Hyperlink" xfId="6417" builtinId="8" hidden="1"/>
    <cellStyle name="Hyperlink" xfId="6419" builtinId="8" hidden="1"/>
    <cellStyle name="Hyperlink" xfId="6421" builtinId="8" hidden="1"/>
    <cellStyle name="Hyperlink" xfId="6423" builtinId="8" hidden="1"/>
    <cellStyle name="Hyperlink" xfId="6425" builtinId="8" hidden="1"/>
    <cellStyle name="Hyperlink" xfId="6427" builtinId="8" hidden="1"/>
    <cellStyle name="Hyperlink" xfId="6429" builtinId="8" hidden="1"/>
    <cellStyle name="Hyperlink" xfId="6431" builtinId="8" hidden="1"/>
    <cellStyle name="Hyperlink" xfId="6433" builtinId="8" hidden="1"/>
    <cellStyle name="Hyperlink" xfId="6435" builtinId="8" hidden="1"/>
    <cellStyle name="Hyperlink" xfId="6437" builtinId="8" hidden="1"/>
    <cellStyle name="Hyperlink" xfId="6439" builtinId="8" hidden="1"/>
    <cellStyle name="Hyperlink" xfId="6441" builtinId="8" hidden="1"/>
    <cellStyle name="Hyperlink" xfId="6443" builtinId="8" hidden="1"/>
    <cellStyle name="Hyperlink" xfId="6445" builtinId="8" hidden="1"/>
    <cellStyle name="Hyperlink" xfId="6447" builtinId="8" hidden="1"/>
    <cellStyle name="Hyperlink" xfId="6449" builtinId="8" hidden="1"/>
    <cellStyle name="Hyperlink" xfId="6451" builtinId="8" hidden="1"/>
    <cellStyle name="Hyperlink" xfId="6453" builtinId="8" hidden="1"/>
    <cellStyle name="Hyperlink" xfId="6455" builtinId="8" hidden="1"/>
    <cellStyle name="Hyperlink" xfId="6457" builtinId="8" hidden="1"/>
    <cellStyle name="Hyperlink" xfId="6459" builtinId="8" hidden="1"/>
    <cellStyle name="Hyperlink" xfId="6461" builtinId="8" hidden="1"/>
    <cellStyle name="Hyperlink" xfId="6463" builtinId="8" hidden="1"/>
    <cellStyle name="Hyperlink" xfId="6465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Normal" xfId="0" builtinId="0"/>
  </cellStyles>
  <dxfs count="1102"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color auto="1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  <bgColor rgb="FFCCFFCC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  <bgColor rgb="FFCCFFCC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  <bgColor rgb="FFCCFFCC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</dxf>
    <dxf>
      <font>
        <color auto="1"/>
      </font>
      <fill>
        <patternFill patternType="none">
          <fgColor indexed="64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</patternFill>
      </fill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z val="11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relativeIndent="255" justifyLastLine="0" shrinkToFit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</font>
      <numFmt numFmtId="2" formatCode="0.00"/>
      <alignment horizontal="center" vertical="bottom" textRotation="0" wrapText="0" indent="0" relativeIndent="255" justifyLastLine="0" shrinkToFit="0" readingOrder="0"/>
    </dxf>
    <dxf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z val="11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relativeIndent="255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numFmt numFmtId="2" formatCode="0.0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</patternFill>
      </fill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solid">
          <fgColor indexed="64"/>
          <bgColor rgb="FF92D05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92D05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2" formatCode="0.00"/>
      <fill>
        <patternFill patternType="solid">
          <fgColor indexed="64"/>
          <bgColor rgb="FF92D05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92D050"/>
        </patternFill>
      </fill>
      <border outline="0">
        <right style="thin">
          <color auto="1"/>
        </right>
      </border>
    </dxf>
    <dxf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</patternFill>
      </fill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2" formatCode="0.00"/>
      <alignment horizontal="center" vertical="bottom" textRotation="0" wrapText="0" indent="0" relativeIndent="255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CCFFCC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2" formatCode="0.00"/>
      <fill>
        <patternFill patternType="none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</patternFill>
      </fill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numFmt numFmtId="2" formatCode="0.0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i/>
        <sz val="11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textRotation="0" wrapText="0" indent="0" relativeIndent="255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  <fill>
        <patternFill patternType="none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</patternFill>
      </fill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numFmt numFmtId="2" formatCode="0.0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</patternFill>
      </fill>
      <alignment horizontal="center" vertical="bottom" textRotation="0" wrapText="0" indent="0" relativeIndent="255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numFmt numFmtId="2" formatCode="0.00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color auto="1"/>
      </font>
      <fill>
        <patternFill patternType="solid">
          <fgColor indexed="64"/>
          <bgColor rgb="FFFFFF00"/>
        </patternFill>
      </fill>
    </dxf>
    <dxf>
      <font>
        <b/>
        <i val="0"/>
        <color auto="1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</dxfs>
  <tableStyles count="0" defaultTableStyle="TableStyleMedium9" defaultPivotStyle="PivotStyleMedium4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33" name="Table1834" displayName="Table1834" ref="N17:P20" totalsRowShown="0">
  <autoFilter ref="N17:P20"/>
  <sortState ref="N18:P20">
    <sortCondition descending="1" ref="P18"/>
  </sortState>
  <tableColumns count="3">
    <tableColumn id="1" name="CLUB" dataDxfId="1089"/>
    <tableColumn id="2" name="TOTAL" dataDxfId="1088"/>
    <tableColumn id="3" name="POS" dataDxfId="1087">
      <calculatedColumnFormula>SUMPRODUCT((O$18:O$20&gt;O18)/COUNTIF(O$18:O$20,O$18:O$20&amp;""))+1</calculatedColumnFormula>
    </tableColumn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51" name="Table1752" displayName="Table1752" ref="Y6:AA11" totalsRowShown="0">
  <autoFilter ref="Y6:AA11"/>
  <sortState ref="Y6:AA8">
    <sortCondition ref="AA18:AA21"/>
  </sortState>
  <tableColumns count="3">
    <tableColumn id="1" name="CLUB" dataDxfId="967"/>
    <tableColumn id="2" name="TOTAL" dataDxfId="966"/>
    <tableColumn id="3" name="POS" dataDxfId="965">
      <calculatedColumnFormula>SUMPRODUCT((D$18:D$19&gt;Z7)/COUNTIF(D$18:D$19,D$18:D$19&amp;""))+1</calculatedColumnFormula>
    </tableColumn>
  </tableColumns>
  <tableStyleInfo name="TableStyleMedium4" showFirstColumn="0" showLastColumn="0" showRowStripes="1" showColumnStripes="0"/>
</table>
</file>

<file path=xl/tables/table100.xml><?xml version="1.0" encoding="utf-8"?>
<table xmlns="http://schemas.openxmlformats.org/spreadsheetml/2006/main" id="81" name="Table13177282" displayName="Table13177282" ref="E2:F16" totalsRowShown="0" headerRowDxfId="45" headerRowBorderDxfId="44" tableBorderDxfId="43">
  <autoFilter ref="E2:F16"/>
  <sortState ref="E3:F16">
    <sortCondition descending="1" ref="F2:F16"/>
  </sortState>
  <tableColumns count="2">
    <tableColumn id="1" name="TOP 10 TOTAL" dataDxfId="42"/>
    <tableColumn id="2" name="TOTAL" dataDxfId="41"/>
  </tableColumns>
  <tableStyleInfo name="TableStyleLight15" showFirstColumn="0" showLastColumn="0" showRowStripes="1" showColumnStripes="0"/>
</table>
</file>

<file path=xl/tables/table101.xml><?xml version="1.0" encoding="utf-8"?>
<table xmlns="http://schemas.openxmlformats.org/spreadsheetml/2006/main" id="82" name="Table131743577683" displayName="Table131743577683" ref="A2:C10" totalsRowShown="0" headerRowDxfId="40" dataDxfId="39" tableBorderDxfId="38">
  <autoFilter ref="A2:C10"/>
  <sortState ref="A3:C5">
    <sortCondition ref="C2:C5"/>
  </sortState>
  <tableColumns count="3">
    <tableColumn id="1" name="CLUB" dataDxfId="37"/>
    <tableColumn id="2" name="SCORE" dataDxfId="36">
      <calculatedColumnFormula>F1</calculatedColumnFormula>
    </tableColumn>
    <tableColumn id="4" name="POS" dataDxfId="35">
      <calculatedColumnFormula>SUMPRODUCT((B$3:B$10&gt;B3)/COUNTIF(B$3:B$10,B$3:B$10&amp;""))+1</calculatedColumnFormula>
    </tableColumn>
  </tableColumns>
  <tableStyleInfo name="TableStyleDark1" showFirstColumn="0" showLastColumn="0" showRowStripes="1" showColumnStripes="0"/>
</table>
</file>

<file path=xl/tables/table102.xml><?xml version="1.0" encoding="utf-8"?>
<table xmlns="http://schemas.openxmlformats.org/spreadsheetml/2006/main" id="118" name="Table13177282119" displayName="Table13177282119" ref="H2:I36" totalsRowShown="0" headerRowDxfId="34" headerRowBorderDxfId="33" tableBorderDxfId="32">
  <autoFilter ref="H2:I36"/>
  <sortState ref="H3:I36">
    <sortCondition descending="1" ref="I2:I36"/>
  </sortState>
  <tableColumns count="2">
    <tableColumn id="1" name="TOP 10 TOTAL" dataDxfId="31"/>
    <tableColumn id="2" name="TOTAL" dataDxfId="30"/>
  </tableColumns>
  <tableStyleInfo name="TableStyleLight15" showFirstColumn="0" showLastColumn="0" showRowStripes="1" showColumnStripes="0"/>
</table>
</file>

<file path=xl/tables/table103.xml><?xml version="1.0" encoding="utf-8"?>
<table xmlns="http://schemas.openxmlformats.org/spreadsheetml/2006/main" id="119" name="Table13177282120" displayName="Table13177282120" ref="K2:L27" totalsRowShown="0" headerRowDxfId="29" headerRowBorderDxfId="28" tableBorderDxfId="27">
  <autoFilter ref="K2:L27"/>
  <sortState ref="K3:L27">
    <sortCondition descending="1" ref="L2:L27"/>
  </sortState>
  <tableColumns count="2">
    <tableColumn id="1" name="TOP 10 TOTAL" dataDxfId="26"/>
    <tableColumn id="2" name="TOTAL" dataDxfId="25"/>
  </tableColumns>
  <tableStyleInfo name="TableStyleLight15" showFirstColumn="0" showLastColumn="0" showRowStripes="1" showColumnStripes="0"/>
</table>
</file>

<file path=xl/tables/table104.xml><?xml version="1.0" encoding="utf-8"?>
<table xmlns="http://schemas.openxmlformats.org/spreadsheetml/2006/main" id="120" name="Table13177282121" displayName="Table13177282121" ref="N2:O14" totalsRowShown="0" headerRowDxfId="24" headerRowBorderDxfId="23" tableBorderDxfId="22">
  <autoFilter ref="N2:O14"/>
  <sortState ref="N3:O14">
    <sortCondition descending="1" ref="O2:O14"/>
  </sortState>
  <tableColumns count="2">
    <tableColumn id="1" name="TOP 10 TOTAL" dataDxfId="21"/>
    <tableColumn id="2" name="TOTAL" dataDxfId="20"/>
  </tableColumns>
  <tableStyleInfo name="TableStyleLight15" showFirstColumn="0" showLastColumn="0" showRowStripes="1" showColumnStripes="0"/>
</table>
</file>

<file path=xl/tables/table105.xml><?xml version="1.0" encoding="utf-8"?>
<table xmlns="http://schemas.openxmlformats.org/spreadsheetml/2006/main" id="121" name="Table13177282120122" displayName="Table13177282120122" ref="Q2:R52" totalsRowShown="0" headerRowDxfId="19" headerRowBorderDxfId="18" tableBorderDxfId="17">
  <autoFilter ref="Q2:R52"/>
  <sortState ref="Q3:R52">
    <sortCondition descending="1" ref="R2:R52"/>
  </sortState>
  <tableColumns count="2">
    <tableColumn id="1" name="TOP 10 TOTAL" dataDxfId="16"/>
    <tableColumn id="2" name="TOTAL" dataDxfId="15">
      <calculatedColumnFormula>'ADV 9&amp;U G'!K19</calculatedColumnFormula>
    </tableColumn>
  </tableColumns>
  <tableStyleInfo name="TableStyleLight15" showFirstColumn="0" showLastColumn="0" showRowStripes="1" showColumnStripes="0"/>
</table>
</file>

<file path=xl/tables/table106.xml><?xml version="1.0" encoding="utf-8"?>
<table xmlns="http://schemas.openxmlformats.org/spreadsheetml/2006/main" id="122" name="Table13177282121123" displayName="Table13177282121123" ref="T2:U16" totalsRowShown="0" headerRowDxfId="14" headerRowBorderDxfId="13" tableBorderDxfId="12">
  <autoFilter ref="T2:U16"/>
  <sortState ref="T3:U16">
    <sortCondition descending="1" ref="U2:U16"/>
  </sortState>
  <tableColumns count="2">
    <tableColumn id="1" name="TOP 10 TOTAL" dataDxfId="11"/>
    <tableColumn id="2" name="TOTAL" dataDxfId="10"/>
  </tableColumns>
  <tableStyleInfo name="TableStyleLight15" showFirstColumn="0" showLastColumn="0" showRowStripes="1" showColumnStripes="0"/>
</table>
</file>

<file path=xl/tables/table107.xml><?xml version="1.0" encoding="utf-8"?>
<table xmlns="http://schemas.openxmlformats.org/spreadsheetml/2006/main" id="123" name="Table13177282121123124" displayName="Table13177282121123124" ref="W2:X22" totalsRowShown="0" headerRowDxfId="9" headerRowBorderDxfId="8" tableBorderDxfId="7">
  <autoFilter ref="W2:X22"/>
  <sortState ref="W3:X22">
    <sortCondition descending="1" ref="X2:X22"/>
  </sortState>
  <tableColumns count="2">
    <tableColumn id="1" name="TOP 10 TOTAL" dataDxfId="6"/>
    <tableColumn id="2" name="TOTAL" dataDxfId="5"/>
  </tableColumns>
  <tableStyleInfo name="TableStyleLight15" showFirstColumn="0" showLastColumn="0" showRowStripes="1" showColumnStripes="0"/>
</table>
</file>

<file path=xl/tables/table108.xml><?xml version="1.0" encoding="utf-8"?>
<table xmlns="http://schemas.openxmlformats.org/spreadsheetml/2006/main" id="124" name="Table13177282121123124125" displayName="Table13177282121123124125" ref="Z2:AA30" totalsRowShown="0" headerRowDxfId="4" headerRowBorderDxfId="3" tableBorderDxfId="2">
  <autoFilter ref="Z2:AA30"/>
  <sortState ref="Z3:AA30">
    <sortCondition descending="1" ref="AA2:AA30"/>
  </sortState>
  <tableColumns count="2">
    <tableColumn id="1" name="TOP 10 TOTAL" dataDxfId="1"/>
    <tableColumn id="2" name="TOTAL" dataDxfId="0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53" name="Table35121314243954" displayName="Table35121314243954" ref="U6:AC14" totalsRowShown="0" headerRowDxfId="955" headerRowBorderDxfId="954" tableBorderDxfId="953" totalsRowBorderDxfId="952">
  <autoFilter ref="U6:AC14"/>
  <sortState ref="U7:AC12">
    <sortCondition ref="AC6:AC12"/>
  </sortState>
  <tableColumns count="9">
    <tableColumn id="1" name="CLUB" dataDxfId="951"/>
    <tableColumn id="9" name="Column1" dataDxfId="950"/>
    <tableColumn id="2" name="NAME" dataDxfId="949"/>
    <tableColumn id="3" name="Floor" dataDxfId="948"/>
    <tableColumn id="4" name="pos" dataDxfId="947">
      <calculatedColumnFormula>SUMPRODUCT((X$7:X$14&gt;X7)/COUNTIF(X$7:X$14,X$7:X$14&amp;""))+1</calculatedColumnFormula>
    </tableColumn>
    <tableColumn id="5" name="Vault" dataDxfId="946"/>
    <tableColumn id="6" name="pos2" dataDxfId="945">
      <calculatedColumnFormula>SUMPRODUCT((Z$7:Z$14&gt;Z7)/COUNTIF(Z$7:Z$14,Z$7:Z$14&amp;""))+1</calculatedColumnFormula>
    </tableColumn>
    <tableColumn id="7" name="TOTAL" dataDxfId="944">
      <calculatedColumnFormula>Table35121314243954[[#This Row],[Floor]]+Table35121314243954[[#This Row],[Vault]]</calculatedColumnFormula>
    </tableColumn>
    <tableColumn id="8" name="pos3" dataDxfId="943">
      <calculatedColumnFormula>SUMPRODUCT((AB$7:AB$31&gt;AB7)/COUNTIF(AB$7:AB$31,AB$7:AB$31&amp;""))+1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3" name="Table19494" displayName="Table19494" ref="N39:P48" totalsRowShown="0">
  <autoFilter ref="N39:P48"/>
  <sortState ref="N40:P48">
    <sortCondition ref="P45:P55"/>
  </sortState>
  <tableColumns count="3">
    <tableColumn id="1" name="CLUB" dataDxfId="930"/>
    <tableColumn id="2" name="TOTAL" dataDxfId="929"/>
    <tableColumn id="3" name="POS" dataDxfId="928">
      <calculatedColumnFormula>SUMPRODUCT((O$40:O$48&gt;O40)/COUNTIF(O$40:O$48,O$40:O$48&amp;""))+1</calculatedColumnFormula>
    </tableColumn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id="4" name="Table3515505" displayName="Table3515505" ref="U6:AC65" totalsRowShown="0" headerRowDxfId="927" headerRowBorderDxfId="926" tableBorderDxfId="925" totalsRowBorderDxfId="924">
  <autoFilter ref="U6:AC65"/>
  <sortState ref="U7:AC58">
    <sortCondition ref="AC6:AC58"/>
  </sortState>
  <tableColumns count="9">
    <tableColumn id="9" name="CLUB2" dataDxfId="923"/>
    <tableColumn id="1" name="CLUB3" dataDxfId="922"/>
    <tableColumn id="10" name="NAME3" dataDxfId="921"/>
    <tableColumn id="11" name="Floor4" dataDxfId="920"/>
    <tableColumn id="12" name="pos5" dataDxfId="919">
      <calculatedColumnFormula>SUMPRODUCT((X$7:X$65&gt;X7)/COUNTIF(X$7:X$65,X$7:X$65&amp;""))+1</calculatedColumnFormula>
    </tableColumn>
    <tableColumn id="13" name="Vault6" dataDxfId="918"/>
    <tableColumn id="14" name="pos27" dataDxfId="917">
      <calculatedColumnFormula>SUMPRODUCT((Z$7:Z$65&gt;Z7)/COUNTIF(Z$7:Z$65,Z$7:Z$65&amp;""))+1</calculatedColumnFormula>
    </tableColumn>
    <tableColumn id="15" name="TOTAL8" dataDxfId="916">
      <calculatedColumnFormula>Table3515505[[#This Row],[Floor4]]+Table3515505[[#This Row],[Vault6]]</calculatedColumnFormula>
    </tableColumn>
    <tableColumn id="16" name="pos39" dataDxfId="915">
      <calculatedColumnFormula>SUMPRODUCT((AB$7:AB$65&gt;AB7)/COUNTIF(AB$7:AB$65,AB$7:AB$65&amp;""))+1</calculatedColumnFormula>
    </tableColumn>
  </tableColumns>
  <tableStyleInfo name="TableStyleMedium5" showFirstColumn="0" showLastColumn="0" showRowStripes="1" showColumnStripes="0"/>
</table>
</file>

<file path=xl/tables/table14.xml><?xml version="1.0" encoding="utf-8"?>
<table xmlns="http://schemas.openxmlformats.org/spreadsheetml/2006/main" id="50" name="Table175251" displayName="Table175251" ref="Y6:AA7" totalsRowShown="0">
  <autoFilter ref="Y6:AA7"/>
  <sortState ref="Y7:AA9">
    <sortCondition ref="AA18:AA21"/>
  </sortState>
  <tableColumns count="3">
    <tableColumn id="1" name="CLUB" dataDxfId="911"/>
    <tableColumn id="2" name="TOTAL" dataDxfId="910">
      <calculatedColumnFormula>F14</calculatedColumnFormula>
    </tableColumn>
    <tableColumn id="3" name="POS" dataDxfId="909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id="5" name="Table194946" displayName="Table194946" ref="N18:P21" totalsRowShown="0">
  <autoFilter ref="N18:P21"/>
  <sortState ref="N53:P68">
    <sortCondition ref="P65:P81"/>
  </sortState>
  <tableColumns count="3">
    <tableColumn id="1" name="CLUB" dataDxfId="896"/>
    <tableColumn id="2" name="TOTAL" dataDxfId="895"/>
    <tableColumn id="3" name="POS" dataDxfId="894">
      <calculatedColumnFormula>SUMPRODUCT((O$19:O$21&gt;O19)/COUNTIF(O$19:O$21,O$19:O$21&amp;""))+1</calculatedColumnFormula>
    </tableColumn>
  </tableColumns>
  <tableStyleInfo name="TableStyleMedium5" showFirstColumn="0" showLastColumn="0" showRowStripes="1" showColumnStripes="0"/>
</table>
</file>

<file path=xl/tables/table16.xml><?xml version="1.0" encoding="utf-8"?>
<table xmlns="http://schemas.openxmlformats.org/spreadsheetml/2006/main" id="6" name="Table35155057" displayName="Table35155057" ref="U6:AC27" totalsRowShown="0" headerRowDxfId="893" headerRowBorderDxfId="892" tableBorderDxfId="891" totalsRowBorderDxfId="890">
  <autoFilter ref="U6:AC27"/>
  <sortState ref="U7:AC17">
    <sortCondition ref="AC6:AC17"/>
  </sortState>
  <tableColumns count="9">
    <tableColumn id="9" name="CLUB2" dataDxfId="889"/>
    <tableColumn id="1" name="CLUB3" dataDxfId="888"/>
    <tableColumn id="10" name="NAME3" dataDxfId="887"/>
    <tableColumn id="11" name="Floor4" dataDxfId="886"/>
    <tableColumn id="12" name="pos5" dataDxfId="885">
      <calculatedColumnFormula>SUMPRODUCT((X$7:X$27&gt;X7)/COUNTIF(X$7:X$27,X$7:X$27&amp;""))+1</calculatedColumnFormula>
    </tableColumn>
    <tableColumn id="13" name="Vault6" dataDxfId="884"/>
    <tableColumn id="14" name="pos27" dataDxfId="883">
      <calculatedColumnFormula>SUMPRODUCT((Z$7:Z$27&gt;Z7)/COUNTIF(Z$7:Z$27,Z$7:Z$27&amp;""))+1</calculatedColumnFormula>
    </tableColumn>
    <tableColumn id="15" name="TOTAL8" dataDxfId="882">
      <calculatedColumnFormula>Table35155057[[#This Row],[Floor4]]+Table35155057[[#This Row],[Vault6]]</calculatedColumnFormula>
    </tableColumn>
    <tableColumn id="16" name="pos39" dataDxfId="881">
      <calculatedColumnFormula>SUMPRODUCT((AB$7:AB$27&gt;AB7)/COUNTIF(AB$7:AB$27,AB$7:AB$27&amp;""))+1</calculatedColumnFormula>
    </tableColumn>
  </tableColumns>
  <tableStyleInfo name="TableStyleMedium5" showFirstColumn="0" showLastColumn="0" showRowStripes="1" showColumnStripes="0"/>
</table>
</file>

<file path=xl/tables/table17.xml><?xml version="1.0" encoding="utf-8"?>
<table xmlns="http://schemas.openxmlformats.org/spreadsheetml/2006/main" id="57" name="Table35121314243911162225634358" displayName="Table35121314243911162225634358" ref="U6:AC7" totalsRowShown="0" headerRowBorderDxfId="871" tableBorderDxfId="870" totalsRowBorderDxfId="869">
  <autoFilter ref="U6:AC7"/>
  <sortState ref="U7:AC16">
    <sortCondition ref="AC6:AC16"/>
  </sortState>
  <tableColumns count="9">
    <tableColumn id="1" name="CLUB" dataDxfId="868"/>
    <tableColumn id="9" name="Column1" dataDxfId="867"/>
    <tableColumn id="2" name="NAME" dataDxfId="866"/>
    <tableColumn id="3" name="Floor" dataDxfId="865">
      <calculatedColumnFormula>C8</calculatedColumnFormula>
    </tableColumn>
    <tableColumn id="4" name="pos" dataDxfId="864">
      <calculatedColumnFormula>SUMPRODUCT((X$7:X$7&gt;X7)/COUNTIF(X$7:X$7,X$7:X$7&amp;""))+1</calculatedColumnFormula>
    </tableColumn>
    <tableColumn id="5" name="Vault" dataDxfId="863">
      <calculatedColumnFormula>D8</calculatedColumnFormula>
    </tableColumn>
    <tableColumn id="6" name="pos2" dataDxfId="862">
      <calculatedColumnFormula>SUMPRODUCT((Z$7:Z$7&gt;Z7)/COUNTIF(Z$7:Z$7,Z$7:Z$7&amp;""))+1</calculatedColumnFormula>
    </tableColumn>
    <tableColumn id="7" name="TOTAL" dataDxfId="861">
      <calculatedColumnFormula>[Floor]+[Vault]</calculatedColumnFormula>
    </tableColumn>
    <tableColumn id="8" name="pos3" dataDxfId="860">
      <calculatedColumnFormula>SUMPRODUCT((AB$7:AB$7&gt;AB7)/COUNTIF(AB$7:AB$7,AB$7:AB$7&amp;""))+1</calculatedColumnFormula>
    </tableColumn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56" name="Table3515505757" displayName="Table3515505757" ref="U6:AC15" totalsRowShown="0" headerRowDxfId="853" headerRowBorderDxfId="852" tableBorderDxfId="851" totalsRowBorderDxfId="850">
  <autoFilter ref="U6:AC15"/>
  <sortState ref="U7:AC17">
    <sortCondition ref="AC6:AC17"/>
  </sortState>
  <tableColumns count="9">
    <tableColumn id="9" name="CLUB2" dataDxfId="849"/>
    <tableColumn id="1" name="CLUB3" dataDxfId="848"/>
    <tableColumn id="10" name="NAME3" dataDxfId="847"/>
    <tableColumn id="11" name="Floor4" dataDxfId="846"/>
    <tableColumn id="12" name="pos5" dataDxfId="845">
      <calculatedColumnFormula>SUMPRODUCT((X$7:X$15&gt;X7)/COUNTIF(X$7:X$15,X$7:X$15&amp;""))+1</calculatedColumnFormula>
    </tableColumn>
    <tableColumn id="13" name="Vault6" dataDxfId="844"/>
    <tableColumn id="14" name="pos27" dataDxfId="843">
      <calculatedColumnFormula>SUMPRODUCT((Z$7:Z$15&gt;Z7)/COUNTIF(Z$7:Z$15,Z$7:Z$15&amp;""))+1</calculatedColumnFormula>
    </tableColumn>
    <tableColumn id="15" name="TOTAL8" dataDxfId="842">
      <calculatedColumnFormula>Table3515505757[[#This Row],[Floor4]]+Table3515505757[[#This Row],[Vault6]]</calculatedColumnFormula>
    </tableColumn>
    <tableColumn id="16" name="pos39" dataDxfId="841">
      <calculatedColumnFormula>SUMPRODUCT((AB$7:AB$15&gt;AB7)/COUNTIF(AB$7:AB$15,AB$7:AB$15&amp;""))+1</calculatedColumnFormula>
    </tableColumn>
  </tableColumns>
  <tableStyleInfo name="TableStyleMedium5" showFirstColumn="0" showLastColumn="0" showRowStripes="1" showColumnStripes="0"/>
</table>
</file>

<file path=xl/tables/table19.xml><?xml version="1.0" encoding="utf-8"?>
<table xmlns="http://schemas.openxmlformats.org/spreadsheetml/2006/main" id="18" name="Table19494619" displayName="Table19494619" ref="N12:P13" totalsRowShown="0">
  <autoFilter ref="N12:P13"/>
  <sortState ref="N13:P28">
    <sortCondition ref="P65:P81"/>
  </sortState>
  <tableColumns count="3">
    <tableColumn id="1" name="CLUB" dataDxfId="840"/>
    <tableColumn id="2" name="TOTAL" dataDxfId="839">
      <calculatedColumnFormula>E14</calculatedColumnFormula>
    </tableColumn>
    <tableColumn id="3" name="POS" dataDxfId="838">
      <calculatedColumnFormula>SUMPRODUCT((O$17:O$19&gt;O13)/COUNTIF(O$17:O$19,O$17:O$19&amp;""))+1</calculatedColumnFormula>
    </tableColumn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48" name="Table351213142449" displayName="Table351213142449" ref="U6:AC31" totalsRowShown="0" headerRowDxfId="1086" headerRowBorderDxfId="1085" tableBorderDxfId="1084" totalsRowBorderDxfId="1083">
  <autoFilter ref="U6:AC31"/>
  <sortState ref="U7:AC22">
    <sortCondition ref="AC6:AC22"/>
  </sortState>
  <tableColumns count="9">
    <tableColumn id="1" name="CLUB" dataDxfId="1082"/>
    <tableColumn id="9" name="Column1" dataDxfId="1081"/>
    <tableColumn id="2" name="NAME" dataDxfId="1080"/>
    <tableColumn id="3" name="Floor" dataDxfId="1079"/>
    <tableColumn id="4" name="pos" dataDxfId="1078">
      <calculatedColumnFormula>SUMPRODUCT((X$7:X$31&gt;X7)/COUNTIF(X$7:X$31,X$7:X$31&amp;""))+1</calculatedColumnFormula>
    </tableColumn>
    <tableColumn id="5" name="Vault" dataDxfId="1077"/>
    <tableColumn id="6" name="pos2" dataDxfId="1076">
      <calculatedColumnFormula>SUMPRODUCT((Z$7:Z$31&gt;Z7)/COUNTIF(Z$7:Z$31,Z$7:Z$31&amp;""))+1</calculatedColumnFormula>
    </tableColumn>
    <tableColumn id="7" name="TOTAL" dataDxfId="1075">
      <calculatedColumnFormula>Table351213142449[[#This Row],[Floor]]+Table351213142449[[#This Row],[Vault]]</calculatedColumnFormula>
    </tableColumn>
    <tableColumn id="8" name="pos3" dataDxfId="1074">
      <calculatedColumnFormula>SUMPRODUCT((AB$7:AB$31&gt;AB7)/COUNTIF(AB$7:AB$31,AB$7:AB$31&amp;""))+1</calculatedColumnFormula>
    </tableColumn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id="39" name="Table1840" displayName="Table1840" ref="N17:P22" totalsRowShown="0">
  <autoFilter ref="N17:P22"/>
  <sortState ref="N18:P22">
    <sortCondition ref="P28:P33"/>
  </sortState>
  <tableColumns count="3">
    <tableColumn id="1" name="CLUB" dataDxfId="831"/>
    <tableColumn id="2" name="TOTAL" dataDxfId="830"/>
    <tableColumn id="3" name="POS" dataDxfId="829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40" name="Table351213142441" displayName="Table351213142441" ref="U6:AC34" totalsRowShown="0" headerRowDxfId="828" dataDxfId="826" headerRowBorderDxfId="827" tableBorderDxfId="825" totalsRowBorderDxfId="824">
  <autoFilter ref="U6:AC34"/>
  <sortState ref="U7:AC21">
    <sortCondition ref="AC6:AC21"/>
  </sortState>
  <tableColumns count="9">
    <tableColumn id="1" name="CLUB" dataDxfId="823"/>
    <tableColumn id="9" name="Column1" dataDxfId="822"/>
    <tableColumn id="2" name="NAME" dataDxfId="821"/>
    <tableColumn id="3" name="Floor" dataDxfId="820"/>
    <tableColumn id="4" name="pos" dataDxfId="819">
      <calculatedColumnFormula>SUMPRODUCT((X$7:X$34&gt;X7)/COUNTIF(X$7:X$34,X$7:X$34&amp;""))+1</calculatedColumnFormula>
    </tableColumn>
    <tableColumn id="5" name="Vault" dataDxfId="818"/>
    <tableColumn id="6" name="pos2" dataDxfId="817">
      <calculatedColumnFormula>SUMPRODUCT((Z$7:Z$34&gt;Z7)/COUNTIF(Z$7:Z$34,Z$7:Z$34&amp;""))+1</calculatedColumnFormula>
    </tableColumn>
    <tableColumn id="7" name="TOTAL" dataDxfId="816">
      <calculatedColumnFormula>Table351213142441[[#This Row],[Floor]]+Table351213142441[[#This Row],[Vault]]</calculatedColumnFormula>
    </tableColumn>
    <tableColumn id="8" name="pos3" dataDxfId="815">
      <calculatedColumnFormula>SUMPRODUCT((AB$7:AB$34&gt;AB7)/COUNTIF(AB$7:AB$34,AB$7:AB$34&amp;""))+1</calculatedColumnFormula>
    </tableColumn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41" name="Table19494273642" displayName="Table19494273642" ref="N50:P64" totalsRowShown="0">
  <autoFilter ref="N50:P64"/>
  <sortState ref="N51:P59">
    <sortCondition ref="P39:P48"/>
  </sortState>
  <tableColumns count="3">
    <tableColumn id="1" name="CLUB" dataDxfId="802"/>
    <tableColumn id="2" name="TOTAL" dataDxfId="801"/>
    <tableColumn id="3" name="POS" dataDxfId="800">
      <calculatedColumnFormula>SUMPRODUCT((O$51:O$64&gt;O51)/COUNTIF(O$51:O$64,O$51:O$64&amp;""))+1</calculatedColumnFormula>
    </tableColumn>
  </tableColumns>
  <tableStyleInfo name="TableStyleMedium5" showFirstColumn="0" showLastColumn="0" showRowStripes="1" showColumnStripes="0"/>
</table>
</file>

<file path=xl/tables/table23.xml><?xml version="1.0" encoding="utf-8"?>
<table xmlns="http://schemas.openxmlformats.org/spreadsheetml/2006/main" id="8" name="Table351550579" displayName="Table351550579" ref="U6:AC94" totalsRowShown="0" headerRowDxfId="799" headerRowBorderDxfId="798" tableBorderDxfId="797" totalsRowBorderDxfId="796">
  <autoFilter ref="U6:AC94"/>
  <sortState ref="U7:AC62">
    <sortCondition ref="AC6:AC62"/>
  </sortState>
  <tableColumns count="9">
    <tableColumn id="9" name="CLUB2" dataDxfId="795"/>
    <tableColumn id="1" name="CLUB3" dataDxfId="794"/>
    <tableColumn id="10" name="NAME3" dataDxfId="793"/>
    <tableColumn id="11" name="Floor4" dataDxfId="792"/>
    <tableColumn id="12" name="pos5" dataDxfId="791">
      <calculatedColumnFormula>SUMPRODUCT((X$7:X$94&gt;X7)/COUNTIF(X$7:X$94,X$7:X$94&amp;""))+1</calculatedColumnFormula>
    </tableColumn>
    <tableColumn id="13" name="Vault6" dataDxfId="790"/>
    <tableColumn id="14" name="pos27" dataDxfId="789">
      <calculatedColumnFormula>SUMPRODUCT((Z$7:Z$94&gt;Z7)/COUNTIF(Z$7:Z$94,Z$7:Z$94&amp;""))+1</calculatedColumnFormula>
    </tableColumn>
    <tableColumn id="15" name="TOTAL8" dataDxfId="788">
      <calculatedColumnFormula>Table351550579[[#This Row],[Floor4]]+Table351550579[[#This Row],[Vault6]]</calculatedColumnFormula>
    </tableColumn>
    <tableColumn id="16" name="pos39" dataDxfId="787">
      <calculatedColumnFormula>SUMPRODUCT((AB$7:AB$94&gt;AB7)/COUNTIF(AB$7:AB$94,AB$7:AB$94&amp;""))+1</calculatedColumnFormula>
    </tableColumn>
  </tableColumns>
  <tableStyleInfo name="TableStyleMedium5" showFirstColumn="0" showLastColumn="0" showRowStripes="1" showColumnStripes="0"/>
</table>
</file>

<file path=xl/tables/table24.xml><?xml version="1.0" encoding="utf-8"?>
<table xmlns="http://schemas.openxmlformats.org/spreadsheetml/2006/main" id="17" name="Table1752145118" displayName="Table1752145118" ref="Y6:AA7" totalsRowShown="0">
  <autoFilter ref="Y6:AA7"/>
  <sortState ref="Y7:AA9">
    <sortCondition ref="AA18:AA21"/>
  </sortState>
  <tableColumns count="3">
    <tableColumn id="1" name="CLUB" dataDxfId="783"/>
    <tableColumn id="2" name="TOTAL" dataDxfId="782">
      <calculatedColumnFormula>F14</calculatedColumnFormula>
    </tableColumn>
    <tableColumn id="3" name="POS" dataDxfId="781">
      <calculatedColumnFormula>SUMPRODUCT((Z$7:Z$7&gt;Z7)/COUNTIF(Z$7:Z$7,Z$7:Z$7&amp;""))+1</calculatedColumnFormula>
    </tableColumn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43" name="Table1844" displayName="Table1844" ref="N19:P23" totalsRowShown="0">
  <autoFilter ref="N19:P23"/>
  <sortState ref="N20:P23">
    <sortCondition ref="P19:P23"/>
  </sortState>
  <tableColumns count="3">
    <tableColumn id="1" name="CLUB" dataDxfId="768"/>
    <tableColumn id="2" name="TOTAL" dataDxfId="767"/>
    <tableColumn id="3" name="POS" dataDxfId="766">
      <calculatedColumnFormula>SUMPRODUCT((O$20:O$23&gt;O20)/COUNTIF(O$20:O$23,O$20:O$23&amp;""))+1</calculatedColumnFormula>
    </tableColumn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44" name="Table351213142445" displayName="Table351213142445" ref="U6:AC28" totalsRowShown="0" headerRowDxfId="765" headerRowBorderDxfId="764" tableBorderDxfId="763" totalsRowBorderDxfId="762">
  <autoFilter ref="U6:AC28"/>
  <sortState ref="U7:AC29">
    <sortCondition ref="AC6:AC29"/>
  </sortState>
  <tableColumns count="9">
    <tableColumn id="1" name="CLUB" dataDxfId="761"/>
    <tableColumn id="9" name="Column1" dataDxfId="760"/>
    <tableColumn id="2" name="NAME" dataDxfId="759"/>
    <tableColumn id="3" name="Floor" dataDxfId="758"/>
    <tableColumn id="4" name="pos" dataDxfId="757">
      <calculatedColumnFormula>SUMPRODUCT((X$7:X$28&gt;X7)/COUNTIF(X$7:X$28,X$7:X$28&amp;""))+1</calculatedColumnFormula>
    </tableColumn>
    <tableColumn id="5" name="Vault" dataDxfId="756"/>
    <tableColumn id="6" name="pos2" dataDxfId="755">
      <calculatedColumnFormula>SUMPRODUCT((Z$7:Z$28&gt;Z7)/COUNTIF(Z$7:Z$28,Z$7:Z$28&amp;""))+1</calculatedColumnFormula>
    </tableColumn>
    <tableColumn id="7" name="TOTAL" dataDxfId="754">
      <calculatedColumnFormula>Table351213142445[[#This Row],[Floor]]+Table351213142445[[#This Row],[Vault]]</calculatedColumnFormula>
    </tableColumn>
    <tableColumn id="8" name="pos3" dataDxfId="753">
      <calculatedColumnFormula>SUMPRODUCT((AB$7:AB$28&gt;AB7)/COUNTIF(AB$7:AB$28,AB$7:AB$28&amp;""))+1</calculatedColumnFormula>
    </tableColumn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35" name="Table194942736" displayName="Table194942736" ref="N94:P119" totalsRowShown="0">
  <autoFilter ref="N94:P119"/>
  <sortState ref="N95:P109">
    <sortCondition ref="P61:P76"/>
  </sortState>
  <tableColumns count="3">
    <tableColumn id="1" name="CLUB" dataDxfId="749"/>
    <tableColumn id="2" name="TOTAL" dataDxfId="748"/>
    <tableColumn id="3" name="POS" dataDxfId="747">
      <calculatedColumnFormula>SUMPRODUCT((O$95:O$119&gt;O95)/COUNTIF(O$95:O$119,O$95:O$119&amp;""))+1</calculatedColumnFormula>
    </tableColumn>
  </tableColumns>
  <tableStyleInfo name="TableStyleMedium5" showFirstColumn="0" showLastColumn="0" showRowStripes="1" showColumnStripes="0"/>
</table>
</file>

<file path=xl/tables/table28.xml><?xml version="1.0" encoding="utf-8"?>
<table xmlns="http://schemas.openxmlformats.org/spreadsheetml/2006/main" id="36" name="Table35155053537" displayName="Table35155053537" ref="U6:AC139" totalsRowShown="0" headerRowDxfId="746" headerRowBorderDxfId="745" tableBorderDxfId="744" totalsRowBorderDxfId="743">
  <autoFilter ref="U6:AC139"/>
  <sortState ref="U7:AC90">
    <sortCondition ref="AC6:AC90"/>
  </sortState>
  <tableColumns count="9">
    <tableColumn id="9" name="CLUB2" dataDxfId="742"/>
    <tableColumn id="1" name="CLUB3" dataDxfId="741"/>
    <tableColumn id="10" name="NAME3" dataDxfId="740"/>
    <tableColumn id="11" name="Floor4" dataDxfId="739"/>
    <tableColumn id="12" name="pos5" dataDxfId="738">
      <calculatedColumnFormula>SUMPRODUCT((X$7:X$139&gt;X7)/COUNTIF(X$7:X$139,X$7:X$139&amp;""))+1</calculatedColumnFormula>
    </tableColumn>
    <tableColumn id="13" name="Vault6" dataDxfId="737"/>
    <tableColumn id="14" name="pos27" dataDxfId="736">
      <calculatedColumnFormula>SUMPRODUCT((Z$7:Z$139&gt;Z7)/COUNTIF(Z$7:Z$139,Z$7:Z$139&amp;""))+1</calculatedColumnFormula>
    </tableColumn>
    <tableColumn id="15" name="TOTAL8" dataDxfId="735">
      <calculatedColumnFormula>Table35155053537[[#This Row],[Floor4]]+Table35155053537[[#This Row],[Vault6]]</calculatedColumnFormula>
    </tableColumn>
    <tableColumn id="16" name="pos39" dataDxfId="734">
      <calculatedColumnFormula>SUMPRODUCT((AB$7:AB$139&gt;AB7)/COUNTIF(AB$7:AB$139,AB$7:AB$139&amp;""))+1</calculatedColumnFormula>
    </tableColumn>
  </tableColumns>
  <tableStyleInfo name="TableStyleMedium5" showFirstColumn="0" showLastColumn="0" showRowStripes="1" showColumnStripes="0"/>
</table>
</file>

<file path=xl/tables/table29.xml><?xml version="1.0" encoding="utf-8"?>
<table xmlns="http://schemas.openxmlformats.org/spreadsheetml/2006/main" id="59" name="Table175214511860" displayName="Table175214511860" ref="Y6:AA7" totalsRowShown="0">
  <autoFilter ref="Y6:AA7"/>
  <sortState ref="Y7:AA9">
    <sortCondition ref="AA18:AA21"/>
  </sortState>
  <tableColumns count="3">
    <tableColumn id="1" name="CLUB" dataDxfId="730"/>
    <tableColumn id="2" name="TOTAL" dataDxfId="729">
      <calculatedColumnFormula>F14</calculatedColumnFormula>
    </tableColumn>
    <tableColumn id="3" name="POS" dataDxfId="728">
      <calculatedColumnFormula>SUMPRODUCT((Z$7:Z$7&gt;Z7)/COUNTIF(Z$7:Z$7,Z$7:Z$7&amp;""))+1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9" name="Table351550" displayName="Table351550" ref="U6:AC117" totalsRowShown="0" headerRowDxfId="1052" headerRowBorderDxfId="1051" tableBorderDxfId="1050" totalsRowBorderDxfId="1049">
  <autoFilter ref="U6:AC117"/>
  <sortState ref="U7:AC108">
    <sortCondition ref="AC6:AC108"/>
  </sortState>
  <tableColumns count="9">
    <tableColumn id="9" name="CLUB2" dataDxfId="1048"/>
    <tableColumn id="1" name="CLUB3" dataDxfId="1047"/>
    <tableColumn id="10" name="NAME3" dataDxfId="1046"/>
    <tableColumn id="11" name="Floor4" dataDxfId="1045"/>
    <tableColumn id="12" name="pos5" dataDxfId="1044">
      <calculatedColumnFormula>SUMPRODUCT((X$7:X$117&gt;X7)/COUNTIF(X$7:X$117,X$7:X$117&amp;""))+1</calculatedColumnFormula>
    </tableColumn>
    <tableColumn id="13" name="Vault6" dataDxfId="1043"/>
    <tableColumn id="14" name="pos27" dataDxfId="1042">
      <calculatedColumnFormula>SUMPRODUCT((Z$7:Z$117&gt;Z7)/COUNTIF(Z$7:Z$117,Z$7:Z$117&amp;""))+1</calculatedColumnFormula>
    </tableColumn>
    <tableColumn id="15" name="TOTAL8" dataDxfId="1041">
      <calculatedColumnFormula>Table351550[[#This Row],[Floor4]]+Table351550[[#This Row],[Vault6]]</calculatedColumnFormula>
    </tableColumn>
    <tableColumn id="16" name="pos39" dataDxfId="1040">
      <calculatedColumnFormula>SUMPRODUCT((AB$7:AB$117&gt;AB7)/COUNTIF(AB$7:AB$117,AB$7:AB$117&amp;""))+1</calculatedColumnFormula>
    </tableColumn>
  </tableColumns>
  <tableStyleInfo name="TableStyleMedium5" showFirstColumn="0" showLastColumn="0" showRowStripes="1" showColumnStripes="0"/>
</table>
</file>

<file path=xl/tables/table30.xml><?xml version="1.0" encoding="utf-8"?>
<table xmlns="http://schemas.openxmlformats.org/spreadsheetml/2006/main" id="66" name="Table35121314244567" displayName="Table35121314244567" ref="U6:AC20" totalsRowShown="0" headerRowDxfId="715" headerRowBorderDxfId="714" tableBorderDxfId="713" totalsRowBorderDxfId="712">
  <autoFilter ref="U6:AC20"/>
  <sortState ref="U7:AC16">
    <sortCondition ref="AC6:AC16"/>
  </sortState>
  <tableColumns count="9">
    <tableColumn id="1" name="CLUB" dataDxfId="711"/>
    <tableColumn id="9" name="Column1" dataDxfId="710"/>
    <tableColumn id="2" name="NAME" dataDxfId="709"/>
    <tableColumn id="3" name="Floor" dataDxfId="708"/>
    <tableColumn id="4" name="pos" dataDxfId="707">
      <calculatedColumnFormula>SUMPRODUCT((X$7:X$20&gt;X7)/COUNTIF(X$7:X$20,X$7:X$20&amp;""))+1</calculatedColumnFormula>
    </tableColumn>
    <tableColumn id="5" name="Vault" dataDxfId="706"/>
    <tableColumn id="6" name="pos2" dataDxfId="705">
      <calculatedColumnFormula>SUMPRODUCT((Z$7:Z$20&gt;Z7)/COUNTIF(Z$7:Z$20,Z$7:Z$20&amp;""))+1</calculatedColumnFormula>
    </tableColumn>
    <tableColumn id="7" name="TOTAL" dataDxfId="704">
      <calculatedColumnFormula>Table35121314244567[[#This Row],[Floor]]+Table35121314244567[[#This Row],[Vault]]</calculatedColumnFormula>
    </tableColumn>
    <tableColumn id="8" name="pos3" dataDxfId="703">
      <calculatedColumnFormula>SUMPRODUCT((AB$7:AB$20&gt;AB7)/COUNTIF(AB$7:AB$20,AB$7:AB$20&amp;""))+1</calculatedColumnFormula>
    </tableColumn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id="9" name="Table18446610" displayName="Table18446610" ref="N6:P8" totalsRowShown="0">
  <autoFilter ref="N6:P8"/>
  <sortState ref="N7:P8">
    <sortCondition ref="P16:P18"/>
  </sortState>
  <tableColumns count="3">
    <tableColumn id="1" name="CLUB" dataDxfId="702"/>
    <tableColumn id="2" name="TOTAL" dataDxfId="701"/>
    <tableColumn id="3" name="POS" dataDxfId="700">
      <calculatedColumnFormula>SUMPRODUCT((O$7:O$8&gt;O7)/COUNTIF(O$7:O$8,O$7:O$8&amp;""))+1</calculatedColumnFormula>
    </tableColumn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id="26" name="Table1949427" displayName="Table1949427" ref="N50:P63" totalsRowShown="0">
  <autoFilter ref="N50:P63"/>
  <sortState ref="N51:P63">
    <sortCondition ref="P59:P72"/>
  </sortState>
  <tableColumns count="3">
    <tableColumn id="1" name="CLUB" dataDxfId="693"/>
    <tableColumn id="2" name="TOTAL" dataDxfId="692"/>
    <tableColumn id="3" name="POS" dataDxfId="691">
      <calculatedColumnFormula>SUMPRODUCT((O$51:O$63&gt;O51)/COUNTIF(O$51:O$63,O$51:O$63&amp;""))+1</calculatedColumnFormula>
    </tableColumn>
  </tableColumns>
  <tableStyleInfo name="TableStyleMedium5" showFirstColumn="0" showLastColumn="0" showRowStripes="1" showColumnStripes="0"/>
</table>
</file>

<file path=xl/tables/table33.xml><?xml version="1.0" encoding="utf-8"?>
<table xmlns="http://schemas.openxmlformats.org/spreadsheetml/2006/main" id="34" name="Table351550535" displayName="Table351550535" ref="U6:AC86" totalsRowShown="0" headerRowDxfId="690" headerRowBorderDxfId="689" tableBorderDxfId="688" totalsRowBorderDxfId="687">
  <autoFilter ref="U6:AC86"/>
  <sortState ref="U7:AC85">
    <sortCondition ref="AC6:AC85"/>
  </sortState>
  <tableColumns count="9">
    <tableColumn id="9" name="CLUB2" dataDxfId="686"/>
    <tableColumn id="1" name="CLUB3" dataDxfId="685"/>
    <tableColumn id="10" name="NAME3" dataDxfId="684"/>
    <tableColumn id="11" name="Floor4" dataDxfId="683"/>
    <tableColumn id="12" name="pos5" dataDxfId="682">
      <calculatedColumnFormula>SUMPRODUCT((X$7:X$86&gt;X7)/COUNTIF(X$7:X$86,X$7:X$86&amp;""))+1</calculatedColumnFormula>
    </tableColumn>
    <tableColumn id="13" name="Vault6" dataDxfId="681"/>
    <tableColumn id="14" name="pos27" dataDxfId="680">
      <calculatedColumnFormula>SUMPRODUCT((Z$7:Z$86&gt;Z7)/COUNTIF(Z$7:Z$86,Z$7:Z$86&amp;""))+1</calculatedColumnFormula>
    </tableColumn>
    <tableColumn id="15" name="TOTAL8" dataDxfId="679">
      <calculatedColumnFormula>Table351550535[[#This Row],[Floor4]]+Table351550535[[#This Row],[Vault6]]</calculatedColumnFormula>
    </tableColumn>
    <tableColumn id="16" name="pos39" dataDxfId="678">
      <calculatedColumnFormula>SUMPRODUCT((AB$7:AB$86&gt;AB7)/COUNTIF(AB$7:AB$86,AB$7:AB$86&amp;""))+1</calculatedColumnFormula>
    </tableColumn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60" name="Table175214511861" displayName="Table175214511861" ref="Y6:AA8" totalsRowShown="0">
  <autoFilter ref="Y6:AA8"/>
  <sortState ref="Y7:AA9">
    <sortCondition ref="AA18:AA21"/>
  </sortState>
  <tableColumns count="3">
    <tableColumn id="1" name="CLUB" dataDxfId="674"/>
    <tableColumn id="2" name="TOTAL" dataDxfId="673"/>
    <tableColumn id="3" name="POS" dataDxfId="672">
      <calculatedColumnFormula>SUMPRODUCT((Z$7:Z$8&gt;Z7)/COUNTIF(Z$7:Z$8,Z$7:Z$8&amp;""))+1</calculatedColumnFormula>
    </tableColumn>
  </tableColumns>
  <tableStyleInfo name="TableStyleMedium4" showFirstColumn="0" showLastColumn="0" showRowStripes="1" showColumnStripes="0"/>
</table>
</file>

<file path=xl/tables/table35.xml><?xml version="1.0" encoding="utf-8"?>
<table xmlns="http://schemas.openxmlformats.org/spreadsheetml/2006/main" id="10" name="Table35121314244567234811" displayName="Table35121314244567234811" ref="M6:U11" totalsRowShown="0" headerRowDxfId="662" headerRowBorderDxfId="661" tableBorderDxfId="660" totalsRowBorderDxfId="659">
  <autoFilter ref="M6:U11"/>
  <sortState ref="M7:U14">
    <sortCondition ref="U6:U14"/>
  </sortState>
  <tableColumns count="9">
    <tableColumn id="1" name="CLUB" dataDxfId="658"/>
    <tableColumn id="9" name="Column1"/>
    <tableColumn id="2" name="NAME" dataDxfId="657"/>
    <tableColumn id="3" name="Floor" dataDxfId="656"/>
    <tableColumn id="4" name="pos" dataDxfId="655">
      <calculatedColumnFormula>SUMPRODUCT((P$7:P$11&gt;P7)/COUNTIF(P$7:P$11,P$7:P$11&amp;""))+1</calculatedColumnFormula>
    </tableColumn>
    <tableColumn id="5" name="Vault" dataDxfId="654"/>
    <tableColumn id="6" name="pos2" dataDxfId="653">
      <calculatedColumnFormula>SUMPRODUCT((R$7:R$11&gt;R7)/COUNTIF(R$7:R$11,R$7:R$11&amp;""))+1</calculatedColumnFormula>
    </tableColumn>
    <tableColumn id="7" name="TOTAL" dataDxfId="652">
      <calculatedColumnFormula>Table35121314244567234811[[#This Row],[Floor]]+Table35121314244567234811[[#This Row],[Vault]]</calculatedColumnFormula>
    </tableColumn>
    <tableColumn id="8" name="pos3" dataDxfId="651">
      <calculatedColumnFormula>SUMPRODUCT((T$7:T$11&gt;T7)/COUNTIF(T$7:T$11,T$7:T$11&amp;""))+1</calculatedColumnFormula>
    </tableColumn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id="37" name="Table194942738" displayName="Table194942738" ref="N28:P34" totalsRowShown="0">
  <autoFilter ref="N28:P34"/>
  <sortState ref="N29:P34">
    <sortCondition ref="P32:P38"/>
  </sortState>
  <tableColumns count="3">
    <tableColumn id="1" name="CLUB" dataDxfId="638"/>
    <tableColumn id="2" name="TOTAL" dataDxfId="637"/>
    <tableColumn id="3" name="POS" dataDxfId="636">
      <calculatedColumnFormula>SUMPRODUCT((O$29:O$34&gt;O29)/COUNTIF(O$29:O$34,O$29:O$34&amp;""))+1</calculatedColumnFormula>
    </tableColumn>
  </tableColumns>
  <tableStyleInfo name="TableStyleMedium5" showFirstColumn="0" showLastColumn="0" showRowStripes="1" showColumnStripes="0"/>
</table>
</file>

<file path=xl/tables/table37.xml><?xml version="1.0" encoding="utf-8"?>
<table xmlns="http://schemas.openxmlformats.org/spreadsheetml/2006/main" id="38" name="Table35155053539" displayName="Table35155053539" ref="U6:AC49" totalsRowShown="0" headerRowDxfId="635" dataDxfId="633" headerRowBorderDxfId="634" tableBorderDxfId="632" totalsRowBorderDxfId="631">
  <autoFilter ref="U6:AC49"/>
  <sortState ref="U7:AC48">
    <sortCondition ref="AC6:AC48"/>
  </sortState>
  <tableColumns count="9">
    <tableColumn id="9" name="CLUB2" dataDxfId="630"/>
    <tableColumn id="1" name="CLUB3" dataDxfId="629"/>
    <tableColumn id="10" name="NAME3" dataDxfId="628"/>
    <tableColumn id="11" name="Floor4" dataDxfId="627"/>
    <tableColumn id="12" name="pos5" dataDxfId="626">
      <calculatedColumnFormula>SUMPRODUCT((X$7:X$49&gt;X7)/COUNTIF(X$7:X$49,X$7:X$49&amp;""))+1</calculatedColumnFormula>
    </tableColumn>
    <tableColumn id="13" name="Vault6" dataDxfId="625"/>
    <tableColumn id="14" name="pos27" dataDxfId="624">
      <calculatedColumnFormula>SUMPRODUCT((Z$7:Z$49&gt;Z7)/COUNTIF(Z$7:Z$49,Z$7:Z$49&amp;""))+1</calculatedColumnFormula>
    </tableColumn>
    <tableColumn id="15" name="TOTAL8" dataDxfId="623">
      <calculatedColumnFormula>Table35155053539[[#This Row],[Floor4]]+Table35155053539[[#This Row],[Vault6]]</calculatedColumnFormula>
    </tableColumn>
    <tableColumn id="16" name="pos39" dataDxfId="622">
      <calculatedColumnFormula>SUMPRODUCT((AB$7:AB$49&gt;AB7)/COUNTIF(AB$7:AB$49,AB$7:AB$49&amp;""))+1</calculatedColumnFormula>
    </tableColumn>
  </tableColumns>
  <tableStyleInfo name="TableStyleMedium5" showFirstColumn="0" showLastColumn="0" showRowStripes="1" showColumnStripes="0"/>
</table>
</file>

<file path=xl/tables/table38.xml><?xml version="1.0" encoding="utf-8"?>
<table xmlns="http://schemas.openxmlformats.org/spreadsheetml/2006/main" id="1" name="Table175214682" displayName="Table175214682" ref="Y6:AA8" totalsRowShown="0">
  <autoFilter ref="Y6:AA8"/>
  <sortState ref="Y7:AA9">
    <sortCondition ref="AA18:AA21"/>
  </sortState>
  <tableColumns count="3">
    <tableColumn id="1" name="CLUB" dataDxfId="618"/>
    <tableColumn id="2" name="TOTAL" dataDxfId="617"/>
    <tableColumn id="3" name="POS" dataDxfId="616">
      <calculatedColumnFormula>SUMPRODUCT((Z$7:Z$8&gt;Z7)/COUNTIF(Z$7:Z$8,Z$7:Z$8&amp;""))+1</calculatedColumnFormula>
    </tableColumn>
  </tableColumns>
  <tableStyleInfo name="TableStyleMedium4" showFirstColumn="0" showLastColumn="0" showRowStripes="1" showColumnStripes="0"/>
</table>
</file>

<file path=xl/tables/table39.xml><?xml version="1.0" encoding="utf-8"?>
<table xmlns="http://schemas.openxmlformats.org/spreadsheetml/2006/main" id="47" name="Table351213142445672348" displayName="Table351213142445672348" ref="M6:U8" totalsRowShown="0" headerRowDxfId="603" headerRowBorderDxfId="602" tableBorderDxfId="601" totalsRowBorderDxfId="600">
  <autoFilter ref="M6:U8"/>
  <sortState ref="M7:U14">
    <sortCondition ref="U6:U14"/>
  </sortState>
  <tableColumns count="9">
    <tableColumn id="1" name="CLUB" dataDxfId="599"/>
    <tableColumn id="9" name="Column1" dataDxfId="598"/>
    <tableColumn id="2" name="NAME" dataDxfId="597"/>
    <tableColumn id="3" name="Floor" dataDxfId="596">
      <calculatedColumnFormula>'INT 16&amp;A MX'!D8</calculatedColumnFormula>
    </tableColumn>
    <tableColumn id="4" name="pos" dataDxfId="595">
      <calculatedColumnFormula>SUMPRODUCT((P$7:P$22&gt;P7)/COUNTIF(P$7:P$22,P$7:P$22&amp;""))+1</calculatedColumnFormula>
    </tableColumn>
    <tableColumn id="5" name="Vault" dataDxfId="594">
      <calculatedColumnFormula>'INT 16&amp;A MX'!E8</calculatedColumnFormula>
    </tableColumn>
    <tableColumn id="6" name="pos2" dataDxfId="593">
      <calculatedColumnFormula>SUMPRODUCT((R$7:R$8&gt;R7)/COUNTIF(R$7:R$8,R$7:R$8&amp;""))+1</calculatedColumnFormula>
    </tableColumn>
    <tableColumn id="7" name="TOTAL" dataDxfId="592">
      <calculatedColumnFormula>Table351213142445672348[[#This Row],[Floor]]+Table351213142445672348[[#This Row],[Vault]]</calculatedColumnFormula>
    </tableColumn>
    <tableColumn id="8" name="pos3" dataDxfId="591">
      <calculatedColumnFormula>SUMPRODUCT((T$7:T$8&gt;T7)/COUNTIF(T$7:T$8,T$7:T$8&amp;""))+1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72" name="Table194973" displayName="Table194973" ref="N72:P90" totalsRowShown="0">
  <autoFilter ref="N72:P90"/>
  <sortState ref="N73:P89">
    <sortCondition ref="P65:P81"/>
  </sortState>
  <tableColumns count="3">
    <tableColumn id="1" name="CLUB" dataDxfId="1039"/>
    <tableColumn id="2" name="TOTAL" dataDxfId="1038"/>
    <tableColumn id="3" name="POS" dataDxfId="1037">
      <calculatedColumnFormula>SUMPRODUCT((O$73:O$90&gt;O73)/COUNTIF(O$73:O$90,O$73:O$90&amp;""))+1</calculatedColumnFormula>
    </tableColumn>
  </tableColumns>
  <tableStyleInfo name="TableStyleMedium5" showFirstColumn="0" showLastColumn="0" showRowStripes="1" showColumnStripes="0"/>
</table>
</file>

<file path=xl/tables/table40.xml><?xml version="1.0" encoding="utf-8"?>
<table xmlns="http://schemas.openxmlformats.org/spreadsheetml/2006/main" id="11" name="Table19494612" displayName="Table19494612" ref="N17:P20" totalsRowShown="0">
  <autoFilter ref="N17:P20"/>
  <sortState ref="N18:P21">
    <sortCondition ref="P27:P31"/>
  </sortState>
  <tableColumns count="3">
    <tableColumn id="1" name="CLUB" dataDxfId="578"/>
    <tableColumn id="2" name="TOTAL" dataDxfId="577"/>
    <tableColumn id="3" name="POS" dataDxfId="576">
      <calculatedColumnFormula>SUMPRODUCT((O$18:O$20&gt;O18)/COUNTIF(O$18:O$20,O$18:O$20&amp;""))+1</calculatedColumnFormula>
    </tableColumn>
  </tableColumns>
  <tableStyleInfo name="TableStyleMedium5" showFirstColumn="0" showLastColumn="0" showRowStripes="1" showColumnStripes="0"/>
</table>
</file>

<file path=xl/tables/table41.xml><?xml version="1.0" encoding="utf-8"?>
<table xmlns="http://schemas.openxmlformats.org/spreadsheetml/2006/main" id="12" name="Table3515505713" displayName="Table3515505713" ref="U6:AC22" totalsRowShown="0" headerRowDxfId="575" dataDxfId="573" headerRowBorderDxfId="574" tableBorderDxfId="572" totalsRowBorderDxfId="571">
  <autoFilter ref="U6:AC22"/>
  <sortState ref="U7:AC33">
    <sortCondition ref="AC6:AC33"/>
  </sortState>
  <tableColumns count="9">
    <tableColumn id="9" name="CLUB2" dataDxfId="570"/>
    <tableColumn id="1" name="CLUB3" dataDxfId="569"/>
    <tableColumn id="10" name="NAME3" dataDxfId="568"/>
    <tableColumn id="11" name="Floor4" dataDxfId="567"/>
    <tableColumn id="12" name="pos5" dataDxfId="566">
      <calculatedColumnFormula>SUMPRODUCT((X$7:X$22&gt;X7)/COUNTIF(X$7:X$22,X$7:X$22&amp;""))+1</calculatedColumnFormula>
    </tableColumn>
    <tableColumn id="13" name="Vault6" dataDxfId="565"/>
    <tableColumn id="14" name="pos27" dataDxfId="564">
      <calculatedColumnFormula>SUMPRODUCT((Z$7:Z$22&gt;Z7)/COUNTIF(Z$7:Z$22,Z$7:Z$22&amp;""))+1</calculatedColumnFormula>
    </tableColumn>
    <tableColumn id="15" name="TOTAL8" dataDxfId="563">
      <calculatedColumnFormula>Table3515505713[[#This Row],[Floor4]]+Table3515505713[[#This Row],[Vault6]]</calculatedColumnFormula>
    </tableColumn>
    <tableColumn id="16" name="pos39" dataDxfId="562">
      <calculatedColumnFormula>SUMPRODUCT((AB$7:AB$22&gt;AB7)/COUNTIF(AB$7:AB$22,AB$7:AB$22&amp;""))+1</calculatedColumnFormula>
    </tableColumn>
  </tableColumns>
  <tableStyleInfo name="TableStyleMedium5" showFirstColumn="0" showLastColumn="0" showRowStripes="1" showColumnStripes="0"/>
</table>
</file>

<file path=xl/tables/table42.xml><?xml version="1.0" encoding="utf-8"?>
<table xmlns="http://schemas.openxmlformats.org/spreadsheetml/2006/main" id="67" name="Table17521468" displayName="Table17521468" ref="N6:P7" totalsRowShown="0">
  <autoFilter ref="N6:P7"/>
  <sortState ref="N7:P9">
    <sortCondition ref="P18:P21"/>
  </sortState>
  <tableColumns count="3">
    <tableColumn id="1" name="CLUB" dataDxfId="558"/>
    <tableColumn id="2" name="TOTAL" dataDxfId="557">
      <calculatedColumnFormula>F14</calculatedColumnFormula>
    </tableColumn>
    <tableColumn id="3" name="POS" dataDxfId="556">
      <calculatedColumnFormula>SUMPRODUCT((O$7:O$7&gt;O7)/COUNTIF(O$7:O$7,O$7:O$7&amp;""))+1</calculatedColumnFormula>
    </tableColumn>
  </tableColumns>
  <tableStyleInfo name="TableStyleMedium4" showFirstColumn="0" showLastColumn="0" showRowStripes="1" showColumnStripes="0"/>
</table>
</file>

<file path=xl/tables/table43.xml><?xml version="1.0" encoding="utf-8"?>
<table xmlns="http://schemas.openxmlformats.org/spreadsheetml/2006/main" id="20" name="Table1828101521" displayName="Table1828101521" ref="N7:P9" totalsRowShown="0">
  <autoFilter ref="N7:P9"/>
  <sortState ref="N8:P10">
    <sortCondition ref="P17:P20"/>
  </sortState>
  <tableColumns count="3">
    <tableColumn id="1" name="CLUB" dataDxfId="543"/>
    <tableColumn id="2" name="TOTAL" dataDxfId="542"/>
    <tableColumn id="3" name="POS" dataDxfId="541">
      <calculatedColumnFormula>SUMPRODUCT((O$8:O$9&gt;O8)/COUNTIF(O$8:O$9,O$8:O$9&amp;""))+1</calculatedColumnFormula>
    </tableColumn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id="21" name="Table351213142439111622" displayName="Table351213142439111622" ref="U6:AC21" totalsRowShown="0" headerRowDxfId="540" dataDxfId="538" headerRowBorderDxfId="539" tableBorderDxfId="537" totalsRowBorderDxfId="536">
  <autoFilter ref="U6:AC21"/>
  <sortState ref="U7:AC22">
    <sortCondition ref="AC6:AC22"/>
  </sortState>
  <tableColumns count="9">
    <tableColumn id="1" name="CLUB" dataDxfId="535"/>
    <tableColumn id="9" name="Column1" dataDxfId="534"/>
    <tableColumn id="2" name="NAME" dataDxfId="533"/>
    <tableColumn id="3" name="Floor" dataDxfId="532"/>
    <tableColumn id="4" name="pos" dataDxfId="531">
      <calculatedColumnFormula>SUMPRODUCT((X$7:X$21&gt;X7)/COUNTIF(X$7:X$21,X$7:X$21&amp;""))+1</calculatedColumnFormula>
    </tableColumn>
    <tableColumn id="5" name="Vault" dataDxfId="530"/>
    <tableColumn id="6" name="pos2" dataDxfId="529">
      <calculatedColumnFormula>SUMPRODUCT((Z$7:Z$21&gt;Z7)/COUNTIF(Z$7:Z$21,Z$7:Z$21&amp;""))+1</calculatedColumnFormula>
    </tableColumn>
    <tableColumn id="7" name="TOTAL" dataDxfId="528">
      <calculatedColumnFormula>Table351213142439111622[[#This Row],[Floor]]+Table351213142439111622[[#This Row],[Vault]]</calculatedColumnFormula>
    </tableColumn>
    <tableColumn id="8" name="pos3" dataDxfId="527">
      <calculatedColumnFormula>SUMPRODUCT((AB$7:AB$21&gt;AB7)/COUNTIF(AB$7:AB$21,AB$7:AB$21&amp;""))+1</calculatedColumnFormula>
    </tableColumn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id="55" name="Table3515505713182956" displayName="Table3515505713182956" ref="U6:AC38" totalsRowShown="0" headerRowDxfId="514" headerRowBorderDxfId="513" tableBorderDxfId="512" totalsRowBorderDxfId="511">
  <autoFilter ref="U6:AC38"/>
  <sortState ref="U7:AC30">
    <sortCondition ref="AC6:AC30"/>
  </sortState>
  <tableColumns count="9">
    <tableColumn id="9" name="CLUB2" dataDxfId="510"/>
    <tableColumn id="1" name="CLUB3" dataDxfId="509"/>
    <tableColumn id="10" name="NAME3" dataDxfId="508"/>
    <tableColumn id="11" name="Floor4" dataDxfId="507"/>
    <tableColumn id="12" name="pos5" dataDxfId="506">
      <calculatedColumnFormula>SUMPRODUCT((X$7:X$38&gt;X7)/COUNTIF(X$7:X$38,X$7:X$38&amp;""))+1</calculatedColumnFormula>
    </tableColumn>
    <tableColumn id="13" name="Vault6" dataDxfId="505"/>
    <tableColumn id="14" name="pos27" dataDxfId="504">
      <calculatedColumnFormula>SUMPRODUCT((Z$7:Z$38&gt;Z7)/COUNTIF(Z$7:Z$38,Z$7:Z$38&amp;""))+1</calculatedColumnFormula>
    </tableColumn>
    <tableColumn id="15" name="TOTAL8" dataDxfId="503">
      <calculatedColumnFormula>Table3515505713182956[[#This Row],[Floor4]]+Table3515505713182956[[#This Row],[Vault6]]</calculatedColumnFormula>
    </tableColumn>
    <tableColumn id="16" name="pos39" dataDxfId="502">
      <calculatedColumnFormula>SUMPRODUCT((AB$7:AB$38&gt;AB7)/COUNTIF(AB$7:AB$38,AB$7:AB$38&amp;""))+1</calculatedColumnFormula>
    </tableColumn>
  </tableColumns>
  <tableStyleInfo name="TableStyleMedium5" showFirstColumn="0" showLastColumn="0" showRowStripes="1" showColumnStripes="0"/>
</table>
</file>

<file path=xl/tables/table46.xml><?xml version="1.0" encoding="utf-8"?>
<table xmlns="http://schemas.openxmlformats.org/spreadsheetml/2006/main" id="7" name="Table194946121728558" displayName="Table194946121728558" ref="N17:P22" totalsRowShown="0">
  <autoFilter ref="N17:P22"/>
  <sortState ref="N18:P22">
    <sortCondition ref="P17:P22"/>
  </sortState>
  <tableColumns count="3">
    <tableColumn id="1" name="CLUB" dataDxfId="501"/>
    <tableColumn id="2" name="TOTAL" dataDxfId="500"/>
    <tableColumn id="3" name="POS" dataDxfId="499">
      <calculatedColumnFormula>SUMPRODUCT((O$18:O$22&gt;O18)/COUNTIF(O$18:O$22,O$18:O$22&amp;""))+1</calculatedColumnFormula>
    </tableColumn>
  </tableColumns>
  <tableStyleInfo name="TableStyleMedium5" showFirstColumn="0" showLastColumn="0" showRowStripes="1" showColumnStripes="0"/>
</table>
</file>

<file path=xl/tables/table47.xml><?xml version="1.0" encoding="utf-8"?>
<table xmlns="http://schemas.openxmlformats.org/spreadsheetml/2006/main" id="61" name="Table1752142062" displayName="Table1752142062" ref="N6:P7" totalsRowShown="0">
  <autoFilter ref="N6:P7"/>
  <sortState ref="N7:P9">
    <sortCondition ref="P18:P21"/>
  </sortState>
  <tableColumns count="3">
    <tableColumn id="1" name="CLUB" dataDxfId="495"/>
    <tableColumn id="2" name="TOTAL" dataDxfId="494">
      <calculatedColumnFormula>F14</calculatedColumnFormula>
    </tableColumn>
    <tableColumn id="3" name="POS" dataDxfId="493">
      <calculatedColumnFormula>SUMPRODUCT((O$7:O$7&gt;O7)/COUNTIF(O$7:O$7,O$7:O$7&amp;""))+1</calculatedColumnFormula>
    </tableColumn>
  </tableColumns>
  <tableStyleInfo name="TableStyleMedium4" showFirstColumn="0" showLastColumn="0" showRowStripes="1" showColumnStripes="0"/>
</table>
</file>

<file path=xl/tables/table48.xml><?xml version="1.0" encoding="utf-8"?>
<table xmlns="http://schemas.openxmlformats.org/spreadsheetml/2006/main" id="64" name="Table351213142439111622256365" displayName="Table351213142439111622256365" ref="U6:AC26" totalsRowShown="0" headerRowBorderDxfId="480" tableBorderDxfId="479" totalsRowBorderDxfId="478">
  <autoFilter ref="U6:AC26"/>
  <sortState ref="U7:AC33">
    <sortCondition ref="AC6:AC33"/>
  </sortState>
  <tableColumns count="9">
    <tableColumn id="1" name="CLUB" dataDxfId="477"/>
    <tableColumn id="9" name="Column1" dataDxfId="476"/>
    <tableColumn id="2" name="NAME" dataDxfId="475"/>
    <tableColumn id="3" name="Floor" dataDxfId="474"/>
    <tableColumn id="4" name="pos" dataDxfId="473">
      <calculatedColumnFormula>SUMPRODUCT((X$7:X$26&gt;X7)/COUNTIF(X$7:X$26,X$7:X$26&amp;""))+1</calculatedColumnFormula>
    </tableColumn>
    <tableColumn id="5" name="Vault" dataDxfId="472"/>
    <tableColumn id="6" name="pos2" dataDxfId="471">
      <calculatedColumnFormula>SUMPRODUCT((Z$7:Z$26&gt;Z7)/COUNTIF(Z$7:Z$26,Z$7:Z$26&amp;""))+1</calculatedColumnFormula>
    </tableColumn>
    <tableColumn id="7" name="TOTAL" dataDxfId="470">
      <calculatedColumnFormula>Table351213142439111622256365[[#This Row],[Floor]]+Table351213142439111622256365[[#This Row],[Vault]]</calculatedColumnFormula>
    </tableColumn>
    <tableColumn id="8" name="pos3" dataDxfId="469">
      <calculatedColumnFormula>SUMPRODUCT((AB$7:AB$26&gt;AB7)/COUNTIF(AB$7:AB$26,AB$7:AB$26&amp;""))+1</calculatedColumnFormula>
    </tableColumn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id="63" name="Table1828101521236264" displayName="Table1828101521236264" ref="N17:P20" totalsRowShown="0">
  <autoFilter ref="N17:P20"/>
  <sortState ref="N18:P21">
    <sortCondition ref="P17:P21"/>
  </sortState>
  <tableColumns count="3">
    <tableColumn id="1" name="CLUB" dataDxfId="468"/>
    <tableColumn id="2" name="TOTAL" dataDxfId="467"/>
    <tableColumn id="3" name="POS" dataDxfId="466">
      <calculatedColumnFormula>SUMPRODUCT((O$18:O$20&gt;O18)/COUNTIF(O$18:O$20,O$18:O$20&amp;""))+1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6" name="Table175217" displayName="Table175217" ref="Y6:AA8" totalsRowShown="0">
  <autoFilter ref="Y6:AA8"/>
  <sortState ref="Y7:AA9">
    <sortCondition ref="AA18:AA21"/>
  </sortState>
  <tableColumns count="3">
    <tableColumn id="1" name="CLUB" dataDxfId="1030"/>
    <tableColumn id="2" name="TOTAL" dataDxfId="1029"/>
    <tableColumn id="3" name="POS" dataDxfId="1028">
      <calculatedColumnFormula>SUMPRODUCT((Z$7:Z$8&gt;Z7)/COUNTIF(Z$7:Z$8,Z$7:Z$8&amp;""))+1</calculatedColumnFormula>
    </tableColumn>
  </tableColumns>
  <tableStyleInfo name="TableStyleMedium4" showFirstColumn="0" showLastColumn="0" showRowStripes="1" showColumnStripes="0"/>
</table>
</file>

<file path=xl/tables/table50.xml><?xml version="1.0" encoding="utf-8"?>
<table xmlns="http://schemas.openxmlformats.org/spreadsheetml/2006/main" id="27" name="Table194946121728" displayName="Table194946121728" ref="N28:P35" totalsRowShown="0">
  <autoFilter ref="N28:P35"/>
  <sortState ref="N29:P35">
    <sortCondition ref="P28:P35"/>
  </sortState>
  <tableColumns count="3">
    <tableColumn id="1" name="CLUB" dataDxfId="462"/>
    <tableColumn id="2" name="TOTAL" dataDxfId="461" totalsRowDxfId="460"/>
    <tableColumn id="3" name="POS" dataDxfId="459" totalsRowDxfId="458">
      <calculatedColumnFormula>SUMPRODUCT((O$29:O$35&gt;O29)/COUNTIF(O$29:O$35,O$29:O$35&amp;""))+1</calculatedColumnFormula>
    </tableColumn>
  </tableColumns>
  <tableStyleInfo name="TableStyleMedium5" showFirstColumn="0" showLastColumn="0" showRowStripes="1" showColumnStripes="0"/>
</table>
</file>

<file path=xl/tables/table51.xml><?xml version="1.0" encoding="utf-8"?>
<table xmlns="http://schemas.openxmlformats.org/spreadsheetml/2006/main" id="28" name="Table35155057131829" displayName="Table35155057131829" ref="U6:AC51" totalsRowShown="0" headerRowDxfId="457" headerRowBorderDxfId="456" tableBorderDxfId="455" totalsRowBorderDxfId="454">
  <autoFilter ref="U6:AC51"/>
  <sortState ref="U7:AC50">
    <sortCondition ref="AC6:AC50"/>
  </sortState>
  <tableColumns count="9">
    <tableColumn id="9" name="CLUB2" dataDxfId="453"/>
    <tableColumn id="1" name="CLUB3" dataDxfId="452"/>
    <tableColumn id="10" name="NAME3" dataDxfId="451"/>
    <tableColumn id="11" name="Floor4" dataDxfId="450"/>
    <tableColumn id="12" name="pos5" dataDxfId="449">
      <calculatedColumnFormula>SUMPRODUCT((X$7:X$51&gt;X7)/COUNTIF(X$7:X$51,X$7:X$51&amp;""))+1</calculatedColumnFormula>
    </tableColumn>
    <tableColumn id="13" name="Vault6" dataDxfId="448"/>
    <tableColumn id="14" name="pos27" dataDxfId="447">
      <calculatedColumnFormula>SUMPRODUCT((Z$7:Z$51&gt;Z7)/COUNTIF(Z$7:Z$51,Z$7:Z$51&amp;""))+1</calculatedColumnFormula>
    </tableColumn>
    <tableColumn id="15" name="TOTAL8" dataDxfId="446">
      <calculatedColumnFormula>Table35155057131829[[#This Row],[Floor4]]+Table35155057131829[[#This Row],[Vault6]]</calculatedColumnFormula>
    </tableColumn>
    <tableColumn id="16" name="pos39" dataDxfId="445">
      <calculatedColumnFormula>SUMPRODUCT((AB$7:AB$51&gt;AB7)/COUNTIF(AB$7:AB$51,AB$7:AB$51&amp;""))+1</calculatedColumnFormula>
    </tableColumn>
  </tableColumns>
  <tableStyleInfo name="TableStyleMedium5" showFirstColumn="0" showLastColumn="0" showRowStripes="1" showColumnStripes="0"/>
</table>
</file>

<file path=xl/tables/table52.xml><?xml version="1.0" encoding="utf-8"?>
<table xmlns="http://schemas.openxmlformats.org/spreadsheetml/2006/main" id="19" name="Table17521420" displayName="Table17521420" ref="Y6:AA8" totalsRowShown="0">
  <autoFilter ref="Y6:AA8"/>
  <sortState ref="Y7:AA9">
    <sortCondition ref="AA18:AA21"/>
  </sortState>
  <tableColumns count="3">
    <tableColumn id="1" name="CLUB" dataDxfId="441"/>
    <tableColumn id="2" name="TOTAL" dataDxfId="440">
      <calculatedColumnFormula>F14</calculatedColumnFormula>
    </tableColumn>
    <tableColumn id="3" name="POS" dataDxfId="439">
      <calculatedColumnFormula>SUMPRODUCT((Z$7:Z$8&gt;Z7)/COUNTIF(Z$7:Z$8,Z$7:Z$8&amp;""))+1</calculatedColumnFormula>
    </tableColumn>
  </tableColumns>
  <tableStyleInfo name="TableStyleMedium4" showFirstColumn="0" showLastColumn="0" showRowStripes="1" showColumnStripes="0"/>
</table>
</file>

<file path=xl/tables/table53.xml><?xml version="1.0" encoding="utf-8"?>
<table xmlns="http://schemas.openxmlformats.org/spreadsheetml/2006/main" id="24" name="Table35121314243911162225" displayName="Table35121314243911162225" ref="U6:AC24" totalsRowShown="0" headerRowBorderDxfId="426" tableBorderDxfId="425" totalsRowBorderDxfId="424">
  <autoFilter ref="U6:AC24"/>
  <sortState ref="U7:AC21">
    <sortCondition ref="AC6:AC21"/>
  </sortState>
  <tableColumns count="9">
    <tableColumn id="1" name="CLUB" dataDxfId="423"/>
    <tableColumn id="9" name="Column1" dataDxfId="422"/>
    <tableColumn id="2" name="NAME" dataDxfId="421"/>
    <tableColumn id="3" name="Floor" dataDxfId="420"/>
    <tableColumn id="4" name="pos" dataDxfId="419">
      <calculatedColumnFormula>SUMPRODUCT((X$7:X$24&gt;X7)/COUNTIF(X$7:X$24,X$7:X$24&amp;""))+1</calculatedColumnFormula>
    </tableColumn>
    <tableColumn id="5" name="Vault" dataDxfId="418"/>
    <tableColumn id="6" name="pos2" dataDxfId="417">
      <calculatedColumnFormula>SUMPRODUCT((Z$7:Z$24&gt;Z7)/COUNTIF(Z$7:Z$24,Z$7:Z$24&amp;""))+1</calculatedColumnFormula>
    </tableColumn>
    <tableColumn id="7" name="TOTAL" dataDxfId="416">
      <calculatedColumnFormula>Table35121314243911162225[[#This Row],[Floor]]+Table35121314243911162225[[#This Row],[Vault]]</calculatedColumnFormula>
    </tableColumn>
    <tableColumn id="8" name="pos3" dataDxfId="415">
      <calculatedColumnFormula>SUMPRODUCT((AB$7:AB$24&gt;AB7)/COUNTIF(AB$7:AB$24,AB$7:AB$24&amp;""))+1</calculatedColumnFormula>
    </tableColumn>
  </tableColumns>
  <tableStyleInfo name="TableStyleMedium6" showFirstColumn="0" showLastColumn="0" showRowStripes="1" showColumnStripes="0"/>
</table>
</file>

<file path=xl/tables/table54.xml><?xml version="1.0" encoding="utf-8"?>
<table xmlns="http://schemas.openxmlformats.org/spreadsheetml/2006/main" id="15" name="Table182810152123626416" displayName="Table182810152123626416" ref="N12:P13" totalsRowShown="0">
  <autoFilter ref="N12:P13"/>
  <sortState ref="N13:P14">
    <sortCondition ref="P12:P14"/>
  </sortState>
  <tableColumns count="3">
    <tableColumn id="1" name="CLUB" dataDxfId="414"/>
    <tableColumn id="2" name="TOTAL" dataDxfId="413"/>
    <tableColumn id="3" name="POS" dataDxfId="412">
      <calculatedColumnFormula>SUMPRODUCT((O$13:O$13&gt;O13)/COUNTIF(O$13:O$13,O$13:O$13&amp;""))+1</calculatedColumnFormula>
    </tableColumn>
  </tableColumns>
  <tableStyleInfo name="TableStyleMedium6" showFirstColumn="0" showLastColumn="0" showRowStripes="1" showColumnStripes="0"/>
</table>
</file>

<file path=xl/tables/table55.xml><?xml version="1.0" encoding="utf-8"?>
<table xmlns="http://schemas.openxmlformats.org/spreadsheetml/2006/main" id="29" name="Table19494612172830" displayName="Table19494612172830" ref="N28:P36" totalsRowShown="0">
  <autoFilter ref="N28:P36"/>
  <sortState ref="N29:P37">
    <sortCondition ref="P39:P48"/>
  </sortState>
  <tableColumns count="3">
    <tableColumn id="1" name="Top 4 scores " dataDxfId="399"/>
    <tableColumn id="2" name="Column1" dataDxfId="398"/>
    <tableColumn id="3" name="Column2" dataDxfId="397">
      <calculatedColumnFormula>SUMPRODUCT((O$29:O$36&gt;O29)/COUNTIF(O$29:O$36,O$29:O$36&amp;""))+1</calculatedColumnFormula>
    </tableColumn>
  </tableColumns>
  <tableStyleInfo name="TableStyleMedium5" showFirstColumn="0" showLastColumn="0" showRowStripes="1" showColumnStripes="0"/>
</table>
</file>

<file path=xl/tables/table56.xml><?xml version="1.0" encoding="utf-8"?>
<table xmlns="http://schemas.openxmlformats.org/spreadsheetml/2006/main" id="30" name="Table3515505713182931" displayName="Table3515505713182931" ref="U6:AC56" totalsRowShown="0" headerRowDxfId="396" headerRowBorderDxfId="395" tableBorderDxfId="394" totalsRowBorderDxfId="393">
  <autoFilter ref="U6:AC56"/>
  <sortState ref="U7:AC58">
    <sortCondition ref="AC6:AC58"/>
  </sortState>
  <tableColumns count="9">
    <tableColumn id="9" name="CLUB2" dataDxfId="392"/>
    <tableColumn id="1" name="CLUB3" dataDxfId="391"/>
    <tableColumn id="10" name="NAME3" dataDxfId="390"/>
    <tableColumn id="11" name="Floor4" dataDxfId="389"/>
    <tableColumn id="12" name="pos5" dataDxfId="388">
      <calculatedColumnFormula>SUMPRODUCT((X$7:X$56&gt;X7)/COUNTIF(X$7:X$56,X$7:X$56&amp;""))+1</calculatedColumnFormula>
    </tableColumn>
    <tableColumn id="13" name="Vault6" dataDxfId="387"/>
    <tableColumn id="14" name="pos27" dataDxfId="386">
      <calculatedColumnFormula>SUMPRODUCT((Z$7:Z$56&gt;Z7)/COUNTIF(Z$7:Z$56,Z$7:Z$56&amp;""))+1</calculatedColumnFormula>
    </tableColumn>
    <tableColumn id="15" name="TOTAL8" dataDxfId="385">
      <calculatedColumnFormula>Table3515505713182931[[#This Row],[Floor4]]+Table3515505713182931[[#This Row],[Vault6]]</calculatedColumnFormula>
    </tableColumn>
    <tableColumn id="16" name="pos39" dataDxfId="384">
      <calculatedColumnFormula>SUMPRODUCT((AB$7:AB$56&gt;AB7)/COUNTIF(AB$7:AB$56,AB$7:AB$56&amp;""))+1</calculatedColumnFormula>
    </tableColumn>
  </tableColumns>
  <tableStyleInfo name="TableStyleMedium5" showFirstColumn="0" showLastColumn="0" showRowStripes="1" showColumnStripes="0"/>
</table>
</file>

<file path=xl/tables/table57.xml><?xml version="1.0" encoding="utf-8"?>
<table xmlns="http://schemas.openxmlformats.org/spreadsheetml/2006/main" id="52" name="Table1752142053" displayName="Table1752142053" ref="Y6:AA8" totalsRowShown="0">
  <autoFilter ref="Y6:AA8"/>
  <sortState ref="Y7:AA9">
    <sortCondition ref="AA18:AA21"/>
  </sortState>
  <tableColumns count="3">
    <tableColumn id="1" name="CLUB" dataDxfId="380"/>
    <tableColumn id="2" name="TOTAL" dataDxfId="379">
      <calculatedColumnFormula>F14</calculatedColumnFormula>
    </tableColumn>
    <tableColumn id="3" name="POS" dataDxfId="378">
      <calculatedColumnFormula>SUMPRODUCT((Z$7:Z$8&gt;Z7)/COUNTIF(Z$7:Z$8,Z$7:Z$8&amp;""))+1</calculatedColumnFormula>
    </tableColumn>
  </tableColumns>
  <tableStyleInfo name="TableStyleMedium4" showFirstColumn="0" showLastColumn="0" showRowStripes="1" showColumnStripes="0"/>
</table>
</file>

<file path=xl/tables/table58.xml><?xml version="1.0" encoding="utf-8"?>
<table xmlns="http://schemas.openxmlformats.org/spreadsheetml/2006/main" id="62" name="Table3512131424391116222563" displayName="Table3512131424391116222563" ref="U6:AC13" totalsRowShown="0" headerRowBorderDxfId="368" tableBorderDxfId="367" totalsRowBorderDxfId="366">
  <autoFilter ref="U6:AC13"/>
  <sortState ref="U7:AC16">
    <sortCondition ref="AC6:AC16"/>
  </sortState>
  <tableColumns count="9">
    <tableColumn id="1" name="CLUB" dataDxfId="365"/>
    <tableColumn id="9" name="Column1" dataDxfId="364"/>
    <tableColumn id="2" name="NAME" dataDxfId="363"/>
    <tableColumn id="3" name="Floor" dataDxfId="362"/>
    <tableColumn id="4" name="pos" dataDxfId="361">
      <calculatedColumnFormula>SUMPRODUCT((X$7:X$13&gt;X7)/COUNTIF(X$7:X$13,X$7:X$13&amp;""))+1</calculatedColumnFormula>
    </tableColumn>
    <tableColumn id="5" name="Vault" dataDxfId="360"/>
    <tableColumn id="6" name="pos2" dataDxfId="359">
      <calculatedColumnFormula>SUMPRODUCT((Z$7:Z$13&gt;Z7)/COUNTIF(Z$7:Z$13,Z$7:Z$13&amp;""))+1</calculatedColumnFormula>
    </tableColumn>
    <tableColumn id="7" name="TOTAL" dataDxfId="358">
      <calculatedColumnFormula>Table3512131424391116222563[[#This Row],[Floor]]+Table3512131424391116222563[[#This Row],[Vault]]</calculatedColumnFormula>
    </tableColumn>
    <tableColumn id="8" name="pos3" dataDxfId="357">
      <calculatedColumnFormula>SUMPRODUCT((AB$7:AB$13&gt;AB7)/COUNTIF(AB$7:AB$13,AB$7:AB$13&amp;""))+1</calculatedColumnFormula>
    </tableColumn>
  </tableColumns>
  <tableStyleInfo name="TableStyleMedium6" showFirstColumn="0" showLastColumn="0" showRowStripes="1" showColumnStripes="0"/>
</table>
</file>

<file path=xl/tables/table59.xml><?xml version="1.0" encoding="utf-8"?>
<table xmlns="http://schemas.openxmlformats.org/spreadsheetml/2006/main" id="31" name="Table1949461217283032" displayName="Table1949461217283032" ref="N17:P22" totalsRowShown="0" headerRowDxfId="350" dataDxfId="349">
  <autoFilter ref="N17:P22"/>
  <sortState ref="N18:P21">
    <sortCondition ref="P17:P21"/>
  </sortState>
  <tableColumns count="3">
    <tableColumn id="1" name="CLUB" dataDxfId="348"/>
    <tableColumn id="2" name="TOTAL" dataDxfId="347"/>
    <tableColumn id="3" name="POS" dataDxfId="346">
      <calculatedColumnFormula>SUMPRODUCT((O$18:O$22&gt;O18)/COUNTIF(O$18:O$22,O$18:O$22&amp;""))+1</calculatedColumnFormula>
    </tableColumn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2" name="Table35121314243" displayName="Table35121314243" ref="U6:AC31" totalsRowShown="0" headerRowDxfId="1015" dataDxfId="1013" headerRowBorderDxfId="1014" tableBorderDxfId="1012" totalsRowBorderDxfId="1011">
  <autoFilter ref="U6:AC31"/>
  <sortState ref="U7:AC20">
    <sortCondition ref="AC6:AC20"/>
  </sortState>
  <tableColumns count="9">
    <tableColumn id="1" name="CLUB" dataDxfId="1010"/>
    <tableColumn id="9" name="Column1" dataDxfId="1009"/>
    <tableColumn id="2" name="NAME" dataDxfId="1008"/>
    <tableColumn id="3" name="Floor" dataDxfId="1007"/>
    <tableColumn id="4" name="pos" dataDxfId="1006">
      <calculatedColumnFormula>SUMPRODUCT((X$7:X$31&gt;X7)/COUNTIF(X$7:X$31,X$7:X$31&amp;""))+1</calculatedColumnFormula>
    </tableColumn>
    <tableColumn id="5" name="Vault" dataDxfId="1005"/>
    <tableColumn id="6" name="pos2" dataDxfId="1004">
      <calculatedColumnFormula>SUMPRODUCT((Z$7:Z$31&gt;Z7)/COUNTIF(Z$7:Z$31,Z$7:Z$31&amp;""))+1</calculatedColumnFormula>
    </tableColumn>
    <tableColumn id="7" name="TOTAL" dataDxfId="1003">
      <calculatedColumnFormula>Table35121314243[[#This Row],[Floor]]+Table35121314243[[#This Row],[Vault]]</calculatedColumnFormula>
    </tableColumn>
    <tableColumn id="8" name="pos3" dataDxfId="1002">
      <calculatedColumnFormula>SUMPRODUCT((AB$7:AB$31&gt;AB7)/COUNTIF(AB$7:AB$31,AB$7:AB$31&amp;""))+1</calculatedColumnFormula>
    </tableColumn>
  </tableColumns>
  <tableStyleInfo name="TableStyleMedium6" showFirstColumn="0" showLastColumn="0" showRowStripes="1" showColumnStripes="0"/>
</table>
</file>

<file path=xl/tables/table60.xml><?xml version="1.0" encoding="utf-8"?>
<table xmlns="http://schemas.openxmlformats.org/spreadsheetml/2006/main" id="32" name="Table351550571318293133" displayName="Table351550571318293133" ref="U6:AC38" totalsRowShown="0" headerRowDxfId="345" headerRowBorderDxfId="344" tableBorderDxfId="343" totalsRowBorderDxfId="342">
  <autoFilter ref="U6:AC38"/>
  <sortState ref="U7:AC35">
    <sortCondition ref="AC6:AC35"/>
  </sortState>
  <tableColumns count="9">
    <tableColumn id="9" name="CLUB2" dataDxfId="341"/>
    <tableColumn id="1" name="CLUB3" dataDxfId="340"/>
    <tableColumn id="10" name="NAME3" dataDxfId="339"/>
    <tableColumn id="11" name="Floor4" dataDxfId="338"/>
    <tableColumn id="12" name="pos5" dataDxfId="337">
      <calculatedColumnFormula>SUMPRODUCT((X$7:X$38&gt;X7)/COUNTIF(X$7:X$38,X$7:X$38&amp;""))+1</calculatedColumnFormula>
    </tableColumn>
    <tableColumn id="13" name="Vault6" dataDxfId="336"/>
    <tableColumn id="14" name="pos27" dataDxfId="335">
      <calculatedColumnFormula>SUMPRODUCT((Z$7:Z$38&gt;Z7)/COUNTIF(Z$7:Z$38,Z$7:Z$38&amp;""))+1</calculatedColumnFormula>
    </tableColumn>
    <tableColumn id="15" name="TOTAL8" dataDxfId="334">
      <calculatedColumnFormula>Table351550571318293133[[#This Row],[Floor4]]+Table351550571318293133[[#This Row],[Vault6]]</calculatedColumnFormula>
    </tableColumn>
    <tableColumn id="16" name="pos39" dataDxfId="333">
      <calculatedColumnFormula>SUMPRODUCT((AB$7:AB$38&gt;AB7)/COUNTIF(AB$7:AB$38,AB$7:AB$38&amp;""))+1</calculatedColumnFormula>
    </tableColumn>
  </tableColumns>
  <tableStyleInfo name="TableStyleMedium5" showFirstColumn="0" showLastColumn="0" showRowStripes="1" showColumnStripes="0"/>
</table>
</file>

<file path=xl/tables/table61.xml><?xml version="1.0" encoding="utf-8"?>
<table xmlns="http://schemas.openxmlformats.org/spreadsheetml/2006/main" id="22" name="Table17521420535523" displayName="Table17521420535523" ref="Y6:AA8" totalsRowShown="0">
  <autoFilter ref="Y6:AA8"/>
  <sortState ref="Y7:AA9">
    <sortCondition ref="AA18:AA21"/>
  </sortState>
  <tableColumns count="3">
    <tableColumn id="1" name="CLUB" dataDxfId="329"/>
    <tableColumn id="2" name="TOTAL" dataDxfId="328">
      <calculatedColumnFormula>Q14</calculatedColumnFormula>
    </tableColumn>
    <tableColumn id="3" name="POS" dataDxfId="327">
      <calculatedColumnFormula>SUMPRODUCT((Z$7:Z$8&gt;Z7)/COUNTIF(Z$7:Z$8,Z$7:Z$8&amp;""))+1</calculatedColumnFormula>
    </tableColumn>
  </tableColumns>
  <tableStyleInfo name="TableStyleMedium4" showFirstColumn="0" showLastColumn="0" showRowStripes="1" showColumnStripes="0"/>
</table>
</file>

<file path=xl/tables/table62.xml><?xml version="1.0" encoding="utf-8"?>
<table xmlns="http://schemas.openxmlformats.org/spreadsheetml/2006/main" id="42" name="Table351213142439111622256343" displayName="Table351213142439111622256343" ref="U6:AC9" totalsRowShown="0" headerRowBorderDxfId="317" tableBorderDxfId="316" totalsRowBorderDxfId="315">
  <autoFilter ref="U6:AC9"/>
  <sortState ref="U7:AC16">
    <sortCondition ref="AC6:AC16"/>
  </sortState>
  <tableColumns count="9">
    <tableColumn id="1" name="CLUB" dataDxfId="314"/>
    <tableColumn id="9" name="Column1" dataDxfId="313"/>
    <tableColumn id="2" name="NAME" dataDxfId="312"/>
    <tableColumn id="3" name="Floor" dataDxfId="311"/>
    <tableColumn id="4" name="pos" dataDxfId="310">
      <calculatedColumnFormula>SUMPRODUCT((X$7:X$9&gt;X7)/COUNTIF(X$7:X$9,X$7:X$9&amp;""))+1</calculatedColumnFormula>
    </tableColumn>
    <tableColumn id="5" name="Vault" dataDxfId="309"/>
    <tableColumn id="6" name="pos2" dataDxfId="308">
      <calculatedColumnFormula>SUMPRODUCT((Z$7:Z$9&gt;Z7)/COUNTIF(Z$7:Z$9,Z$7:Z$9&amp;""))+1</calculatedColumnFormula>
    </tableColumn>
    <tableColumn id="7" name="TOTAL" dataDxfId="307">
      <calculatedColumnFormula>Table351213142439111622256343[[#This Row],[Floor]]+Table351213142439111622256343[[#This Row],[Vault]]</calculatedColumnFormula>
    </tableColumn>
    <tableColumn id="8" name="pos3" dataDxfId="306">
      <calculatedColumnFormula>SUMPRODUCT((AB$7:AB$9&gt;AB7)/COUNTIF(AB$7:AB$9,AB$7:AB$9&amp;""))+1</calculatedColumnFormula>
    </tableColumn>
  </tableColumns>
  <tableStyleInfo name="TableStyleMedium6" showFirstColumn="0" showLastColumn="0" showRowStripes="1" showColumnStripes="0"/>
</table>
</file>

<file path=xl/tables/table63.xml><?xml version="1.0" encoding="utf-8"?>
<table xmlns="http://schemas.openxmlformats.org/spreadsheetml/2006/main" id="45" name="Table194946121728303246" displayName="Table194946121728303246" ref="N17:P20" totalsRowShown="0">
  <autoFilter ref="N17:P20"/>
  <sortState ref="N18:P33">
    <sortCondition ref="P65:P81"/>
  </sortState>
  <tableColumns count="3">
    <tableColumn id="1" name="CLUB" dataDxfId="293"/>
    <tableColumn id="2" name="TOTAL" dataDxfId="292"/>
    <tableColumn id="3" name="POS" dataDxfId="291">
      <calculatedColumnFormula>SUMPRODUCT((O$18:O$20&gt;O18)/COUNTIF(O$18:O$20,O$18:O$20&amp;""))+1</calculatedColumnFormula>
    </tableColumn>
  </tableColumns>
  <tableStyleInfo name="TableStyleMedium5" showFirstColumn="0" showLastColumn="0" showRowStripes="1" showColumnStripes="0"/>
</table>
</file>

<file path=xl/tables/table64.xml><?xml version="1.0" encoding="utf-8"?>
<table xmlns="http://schemas.openxmlformats.org/spreadsheetml/2006/main" id="46" name="Table35155057131829313347" displayName="Table35155057131829313347" ref="U6:AC26" totalsRowShown="0" headerRowDxfId="290" headerRowBorderDxfId="289" tableBorderDxfId="288" totalsRowBorderDxfId="287">
  <autoFilter ref="U6:AC26"/>
  <sortState ref="U7:AC20">
    <sortCondition ref="AC6:AC20"/>
  </sortState>
  <tableColumns count="9">
    <tableColumn id="9" name="CLUB2" dataDxfId="286"/>
    <tableColumn id="1" name="CLUB3" dataDxfId="285"/>
    <tableColumn id="10" name="NAME3" dataDxfId="284"/>
    <tableColumn id="11" name="Floor4" dataDxfId="283"/>
    <tableColumn id="12" name="pos5" dataDxfId="282">
      <calculatedColumnFormula>SUMPRODUCT((X$7:X$26&gt;X7)/COUNTIF(X$7:X$26,X$7:X$26&amp;""))+1</calculatedColumnFormula>
    </tableColumn>
    <tableColumn id="13" name="Vault6" dataDxfId="281"/>
    <tableColumn id="14" name="pos27" dataDxfId="280">
      <calculatedColumnFormula>SUMPRODUCT((Z$7:Z$26&gt;Z7)/COUNTIF(Z$7:Z$26,Z$7:Z$26&amp;""))+1</calculatedColumnFormula>
    </tableColumn>
    <tableColumn id="15" name="TOTAL8" dataDxfId="279">
      <calculatedColumnFormula>Table35155057131829313347[[#This Row],[Floor4]]+Table35155057131829313347[[#This Row],[Vault6]]</calculatedColumnFormula>
    </tableColumn>
    <tableColumn id="16" name="pos39" dataDxfId="278">
      <calculatedColumnFormula>SUMPRODUCT((AB$7:AB$26&gt;AB7)/COUNTIF(AB$7:AB$26,AB$7:AB$26&amp;""))+1</calculatedColumnFormula>
    </tableColumn>
  </tableColumns>
  <tableStyleInfo name="TableStyleMedium5" showFirstColumn="0" showLastColumn="0" showRowStripes="1" showColumnStripes="0"/>
</table>
</file>

<file path=xl/tables/table65.xml><?xml version="1.0" encoding="utf-8"?>
<table xmlns="http://schemas.openxmlformats.org/spreadsheetml/2006/main" id="95" name="Table131796" displayName="Table131796" ref="E2:F38" totalsRowShown="0" headerRowDxfId="256" dataDxfId="254" headerRowBorderDxfId="255" tableBorderDxfId="253">
  <autoFilter ref="E2:F38"/>
  <sortState ref="E3:F38">
    <sortCondition descending="1" ref="F2:F38"/>
  </sortState>
  <tableColumns count="2">
    <tableColumn id="1" name="TOP 10 TOTAL" dataDxfId="252"/>
    <tableColumn id="2" name="TOTAL" dataDxfId="251"/>
  </tableColumns>
  <tableStyleInfo name="TableStyleLight15" showFirstColumn="0" showLastColumn="0" showRowStripes="1" showColumnStripes="0"/>
</table>
</file>

<file path=xl/tables/table66.xml><?xml version="1.0" encoding="utf-8"?>
<table xmlns="http://schemas.openxmlformats.org/spreadsheetml/2006/main" id="96" name="Table13174397" displayName="Table13174397" ref="H2:I14" totalsRowShown="0" headerRowDxfId="250" dataDxfId="248" headerRowBorderDxfId="249" tableBorderDxfId="247">
  <autoFilter ref="H2:I14"/>
  <sortState ref="H3:I14">
    <sortCondition descending="1" ref="I2:I14"/>
  </sortState>
  <tableColumns count="2">
    <tableColumn id="1" name="TOP 10 TOTAL" dataDxfId="246"/>
    <tableColumn id="2" name="TOTAL" dataDxfId="245"/>
  </tableColumns>
  <tableStyleInfo name="TableStyleLight15" showFirstColumn="0" showLastColumn="0" showRowStripes="1" showColumnStripes="0"/>
</table>
</file>

<file path=xl/tables/table67.xml><?xml version="1.0" encoding="utf-8"?>
<table xmlns="http://schemas.openxmlformats.org/spreadsheetml/2006/main" id="97" name="Table1317435198" displayName="Table1317435198" ref="K2:L13" totalsRowShown="0" headerRowDxfId="244" dataDxfId="242" headerRowBorderDxfId="243" tableBorderDxfId="241">
  <autoFilter ref="K2:L13"/>
  <sortState ref="K3:L13">
    <sortCondition descending="1" ref="L2:L13"/>
  </sortState>
  <tableColumns count="2">
    <tableColumn id="1" name="TOP 10 TOTAL" dataDxfId="240"/>
    <tableColumn id="2" name="TOTAL" dataDxfId="239"/>
  </tableColumns>
  <tableStyleInfo name="TableStyleLight15" showFirstColumn="0" showLastColumn="0" showRowStripes="1" showColumnStripes="0"/>
</table>
</file>

<file path=xl/tables/table68.xml><?xml version="1.0" encoding="utf-8"?>
<table xmlns="http://schemas.openxmlformats.org/spreadsheetml/2006/main" id="98" name="Table1317435799" displayName="Table1317435799" ref="A2:C17" totalsRowShown="0" headerRowDxfId="238" dataDxfId="237" tableBorderDxfId="236">
  <autoFilter ref="A2:C17"/>
  <sortState ref="A3:C13">
    <sortCondition ref="C2:C13"/>
  </sortState>
  <tableColumns count="3">
    <tableColumn id="1" name="CLUB" dataDxfId="235"/>
    <tableColumn id="2" name="SCORE" dataDxfId="234"/>
    <tableColumn id="4" name="POS" dataDxfId="233">
      <calculatedColumnFormula>SUMPRODUCT((B$3:B$17&gt;B3)/COUNTIF(B$3:B$17,B$3:B$17&amp;""))+1</calculatedColumnFormula>
    </tableColumn>
  </tableColumns>
  <tableStyleInfo name="TableStyleDark1" showFirstColumn="0" showLastColumn="0" showRowStripes="1" showColumnStripes="0"/>
</table>
</file>

<file path=xl/tables/table69.xml><?xml version="1.0" encoding="utf-8"?>
<table xmlns="http://schemas.openxmlformats.org/spreadsheetml/2006/main" id="99" name="Table1317435158100" displayName="Table1317435158100" ref="N2:O29" totalsRowShown="0" headerRowDxfId="232" headerRowBorderDxfId="231" tableBorderDxfId="230">
  <autoFilter ref="N2:O29"/>
  <sortState ref="N3:O29">
    <sortCondition descending="1" ref="O2:O29"/>
  </sortState>
  <tableColumns count="2">
    <tableColumn id="1" name="TOP 10 TOTAL" dataDxfId="229"/>
    <tableColumn id="2" name="TOTAL" dataDxfId="228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58" name="Table1859" displayName="Table1859" ref="N6:P8" totalsRowShown="0">
  <autoFilter ref="N6:P8"/>
  <sortState ref="N7:P11">
    <sortCondition ref="P28:P33"/>
  </sortState>
  <tableColumns count="3">
    <tableColumn id="1" name="CLUB" dataDxfId="1001"/>
    <tableColumn id="2" name="TOTAL" dataDxfId="1000">
      <calculatedColumnFormula>E14</calculatedColumnFormula>
    </tableColumn>
    <tableColumn id="3" name="POS" dataDxfId="999">
      <calculatedColumnFormula>SUMPRODUCT((O$7:O$8&gt;O7)/COUNTIF(O$7:O$8,O$7:O$8&amp;""))+1</calculatedColumnFormula>
    </tableColumn>
  </tableColumns>
  <tableStyleInfo name="TableStyleMedium6" showFirstColumn="0" showLastColumn="0" showRowStripes="1" showColumnStripes="0"/>
</table>
</file>

<file path=xl/tables/table70.xml><?xml version="1.0" encoding="utf-8"?>
<table xmlns="http://schemas.openxmlformats.org/spreadsheetml/2006/main" id="100" name="Table131743515860101" displayName="Table131743515860101" ref="Q2:R17" totalsRowShown="0" headerRowDxfId="227" headerRowBorderDxfId="226" tableBorderDxfId="225">
  <autoFilter ref="Q2:R17"/>
  <sortState ref="Q3:R17">
    <sortCondition descending="1" ref="R2:R17"/>
  </sortState>
  <tableColumns count="2">
    <tableColumn id="1" name="TOP 10 TOTAL" dataDxfId="224"/>
    <tableColumn id="2" name="TOTAL" dataDxfId="223"/>
  </tableColumns>
  <tableStyleInfo name="TableStyleLight15" showFirstColumn="0" showLastColumn="0" showRowStripes="1" showColumnStripes="0"/>
</table>
</file>

<file path=xl/tables/table71.xml><?xml version="1.0" encoding="utf-8"?>
<table xmlns="http://schemas.openxmlformats.org/spreadsheetml/2006/main" id="101" name="Table13174351586061102" displayName="Table13174351586061102" ref="T2:U24" totalsRowShown="0" headerRowDxfId="222" dataDxfId="220" headerRowBorderDxfId="221" tableBorderDxfId="219">
  <autoFilter ref="T2:U24"/>
  <sortState ref="T3:U24">
    <sortCondition descending="1" ref="U2:U24"/>
  </sortState>
  <tableColumns count="2">
    <tableColumn id="1" name="TOP 10 TOTAL" dataDxfId="218"/>
    <tableColumn id="2" name="TOTAL" dataDxfId="217"/>
  </tableColumns>
  <tableStyleInfo name="TableStyleLight15" showFirstColumn="0" showLastColumn="0" showRowStripes="1" showColumnStripes="0"/>
</table>
</file>

<file path=xl/tables/table72.xml><?xml version="1.0" encoding="utf-8"?>
<table xmlns="http://schemas.openxmlformats.org/spreadsheetml/2006/main" id="102" name="Table1317435158606162103" displayName="Table1317435158606162103" ref="W2:X30" totalsRowShown="0" headerRowDxfId="216" headerRowBorderDxfId="215" tableBorderDxfId="214">
  <autoFilter ref="W2:X30"/>
  <sortState ref="W3:X30">
    <sortCondition descending="1" ref="X2:X30"/>
  </sortState>
  <tableColumns count="2">
    <tableColumn id="1" name="TOP 10 TOTAL" dataDxfId="213"/>
    <tableColumn id="2" name="TOTAL" dataDxfId="212"/>
  </tableColumns>
  <tableStyleInfo name="TableStyleLight15" showFirstColumn="0" showLastColumn="0" showRowStripes="1" showColumnStripes="0"/>
</table>
</file>

<file path=xl/tables/table73.xml><?xml version="1.0" encoding="utf-8"?>
<table xmlns="http://schemas.openxmlformats.org/spreadsheetml/2006/main" id="103" name="Table131743515860616266104" displayName="Table131743515860616266104" ref="Z2:AA24" totalsRowShown="0" headerRowDxfId="211" dataDxfId="209" headerRowBorderDxfId="210" tableBorderDxfId="208">
  <autoFilter ref="Z2:AA24"/>
  <sortState ref="Z3:AA24">
    <sortCondition descending="1" ref="AA2:AA24"/>
  </sortState>
  <tableColumns count="2">
    <tableColumn id="1" name="TOP 10 TOTAL" dataDxfId="207"/>
    <tableColumn id="2" name="TOTAL" dataDxfId="206"/>
  </tableColumns>
  <tableStyleInfo name="TableStyleLight15" showFirstColumn="0" showLastColumn="0" showRowStripes="1" showColumnStripes="0"/>
</table>
</file>

<file path=xl/tables/table74.xml><?xml version="1.0" encoding="utf-8"?>
<table xmlns="http://schemas.openxmlformats.org/spreadsheetml/2006/main" id="104" name="Table13174351586061626669105" displayName="Table13174351586061626669105" ref="AC2:AD13" totalsRowShown="0" headerRowDxfId="205" dataDxfId="203" headerRowBorderDxfId="204" tableBorderDxfId="202">
  <autoFilter ref="AC2:AD13"/>
  <sortState ref="AC3:AD13">
    <sortCondition descending="1" ref="AD2:AD13"/>
  </sortState>
  <tableColumns count="2">
    <tableColumn id="1" name="TOP 10 TOTAL" dataDxfId="201"/>
    <tableColumn id="2" name="TOTAL" dataDxfId="200"/>
  </tableColumns>
  <tableStyleInfo name="TableStyleLight15" showFirstColumn="0" showLastColumn="0" showRowStripes="1" showColumnStripes="0"/>
</table>
</file>

<file path=xl/tables/table75.xml><?xml version="1.0" encoding="utf-8"?>
<table xmlns="http://schemas.openxmlformats.org/spreadsheetml/2006/main" id="105" name="Table1317435158606162666970106" displayName="Table1317435158606162666970106" ref="AF2:AG20" totalsRowShown="0" headerRowDxfId="199" headerRowBorderDxfId="198" tableBorderDxfId="197">
  <autoFilter ref="AF2:AG20"/>
  <sortState ref="AF3:AG20">
    <sortCondition descending="1" ref="AG2:AG20"/>
  </sortState>
  <tableColumns count="2">
    <tableColumn id="1" name="TOP 10 TOTAL" dataDxfId="196"/>
    <tableColumn id="2" name="TOTAL" dataDxfId="195"/>
  </tableColumns>
  <tableStyleInfo name="TableStyleLight15" showFirstColumn="0" showLastColumn="0" showRowStripes="1" showColumnStripes="0"/>
</table>
</file>

<file path=xl/tables/table76.xml><?xml version="1.0" encoding="utf-8"?>
<table xmlns="http://schemas.openxmlformats.org/spreadsheetml/2006/main" id="106" name="Table1317435158606162666971107" displayName="Table1317435158606162666971107" ref="AI2:AJ21" totalsRowShown="0" headerRowDxfId="194" dataDxfId="192" headerRowBorderDxfId="193" tableBorderDxfId="191">
  <autoFilter ref="AI2:AJ21"/>
  <sortState ref="AI3:AJ21">
    <sortCondition descending="1" ref="AJ2:AJ21"/>
  </sortState>
  <tableColumns count="2">
    <tableColumn id="1" name="TOP 10 TOTAL" dataDxfId="190"/>
    <tableColumn id="2" name="TOTAL" dataDxfId="189"/>
  </tableColumns>
  <tableStyleInfo name="TableStyleLight15" showFirstColumn="0" showLastColumn="0" showRowStripes="1" showColumnStripes="0"/>
</table>
</file>

<file path=xl/tables/table77.xml><?xml version="1.0" encoding="utf-8"?>
<table xmlns="http://schemas.openxmlformats.org/spreadsheetml/2006/main" id="23" name="Table131743515860616266697110724" displayName="Table131743515860616266697110724" ref="AL2:AM12" totalsRowShown="0" headerRowDxfId="188" dataDxfId="186" headerRowBorderDxfId="187" tableBorderDxfId="185">
  <autoFilter ref="AL2:AM12"/>
  <sortState ref="AL3:AM12">
    <sortCondition descending="1" ref="AM2:AM12"/>
  </sortState>
  <tableColumns count="2">
    <tableColumn id="1" name="TOP 10 TOTAL" dataDxfId="184"/>
    <tableColumn id="2" name="TOTAL" dataDxfId="183"/>
  </tableColumns>
  <tableStyleInfo name="TableStyleLight15" showFirstColumn="0" showLastColumn="0" showRowStripes="1" showColumnStripes="0"/>
</table>
</file>

<file path=xl/tables/table78.xml><?xml version="1.0" encoding="utf-8"?>
<table xmlns="http://schemas.openxmlformats.org/spreadsheetml/2006/main" id="54" name="Table131743515860616266697110755" displayName="Table131743515860616266697110755" ref="AO2:AP20" totalsRowShown="0" headerRowDxfId="182" dataDxfId="180" headerRowBorderDxfId="181" tableBorderDxfId="179">
  <autoFilter ref="AO2:AP20"/>
  <sortState ref="AO3:AP20">
    <sortCondition descending="1" ref="AP2:AP20"/>
  </sortState>
  <tableColumns count="2">
    <tableColumn id="1" name="TOP 10 TOTAL" dataDxfId="178"/>
    <tableColumn id="2" name="TOTAL" dataDxfId="177"/>
  </tableColumns>
  <tableStyleInfo name="TableStyleLight15" showFirstColumn="0" showLastColumn="0" showRowStripes="1" showColumnStripes="0"/>
</table>
</file>

<file path=xl/tables/table79.xml><?xml version="1.0" encoding="utf-8"?>
<table xmlns="http://schemas.openxmlformats.org/spreadsheetml/2006/main" id="65" name="Table131743515860616266697110766" displayName="Table131743515860616266697110766" ref="AR2:AS40" totalsRowShown="0" headerRowDxfId="176" dataDxfId="174" headerRowBorderDxfId="175" tableBorderDxfId="173">
  <autoFilter ref="AR2:AS40"/>
  <sortState ref="AR3:AS40">
    <sortCondition descending="1" ref="AS2:AS40"/>
  </sortState>
  <tableColumns count="2">
    <tableColumn id="1" name="TOP 10 TOTAL" dataDxfId="172"/>
    <tableColumn id="2" name="TOTAL" dataDxfId="171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14" name="Table1949415" displayName="Table1949415" ref="N61:P76" totalsRowShown="0">
  <autoFilter ref="N61:P76"/>
  <sortState ref="N62:P79">
    <sortCondition ref="P78:P96"/>
  </sortState>
  <tableColumns count="3">
    <tableColumn id="1" name="CLUB" dataDxfId="986"/>
    <tableColumn id="2" name="TOTAL" dataDxfId="985"/>
    <tableColumn id="3" name="POS" dataDxfId="984">
      <calculatedColumnFormula>SUMPRODUCT((O$62:O$76&gt;O62)/COUNTIF(O$62:O$76,O$62:O$76&amp;""))+1</calculatedColumnFormula>
    </tableColumn>
  </tableColumns>
  <tableStyleInfo name="TableStyleMedium5" showFirstColumn="0" showLastColumn="0" showRowStripes="1" showColumnStripes="0"/>
</table>
</file>

<file path=xl/tables/table80.xml><?xml version="1.0" encoding="utf-8"?>
<table xmlns="http://schemas.openxmlformats.org/spreadsheetml/2006/main" id="68" name="Table13174351586061626669711075569" displayName="Table13174351586061626669711075569" ref="AU2:AV17" totalsRowShown="0" headerRowDxfId="170" dataDxfId="168" headerRowBorderDxfId="169" tableBorderDxfId="167">
  <autoFilter ref="AU2:AV17"/>
  <sortState ref="AU3:AV17">
    <sortCondition descending="1" ref="AV2:AV17"/>
  </sortState>
  <tableColumns count="2">
    <tableColumn id="1" name="TOP 10 TOTAL" dataDxfId="166"/>
    <tableColumn id="2" name="TOTAL" dataDxfId="165"/>
  </tableColumns>
  <tableStyleInfo name="TableStyleLight15" showFirstColumn="0" showLastColumn="0" showRowStripes="1" showColumnStripes="0"/>
</table>
</file>

<file path=xl/tables/table81.xml><?xml version="1.0" encoding="utf-8"?>
<table xmlns="http://schemas.openxmlformats.org/spreadsheetml/2006/main" id="69" name="Table1317435158606162666971107556970" displayName="Table1317435158606162666971107556970" ref="AX2:AY19" totalsRowShown="0" headerRowDxfId="164" dataDxfId="162" headerRowBorderDxfId="163" tableBorderDxfId="161">
  <autoFilter ref="AX2:AY19"/>
  <sortState ref="AX3:AY19">
    <sortCondition descending="1" ref="AY2:AY19"/>
  </sortState>
  <tableColumns count="2">
    <tableColumn id="1" name="TOP 10 TOTAL" dataDxfId="160"/>
    <tableColumn id="2" name="TOTAL" dataDxfId="159"/>
  </tableColumns>
  <tableStyleInfo name="TableStyleLight15" showFirstColumn="0" showLastColumn="0" showRowStripes="1" showColumnStripes="0"/>
</table>
</file>

<file path=xl/tables/table82.xml><?xml version="1.0" encoding="utf-8"?>
<table xmlns="http://schemas.openxmlformats.org/spreadsheetml/2006/main" id="71" name="Table131772" displayName="Table131772" ref="E2:F28" totalsRowShown="0" headerRowDxfId="155" headerRowBorderDxfId="154" tableBorderDxfId="153">
  <autoFilter ref="E2:F28"/>
  <sortState ref="E3:F28">
    <sortCondition descending="1" ref="F2:F28"/>
  </sortState>
  <tableColumns count="2">
    <tableColumn id="1" name="TOP 10 TOTAL" dataDxfId="152"/>
    <tableColumn id="2" name="TOTAL" dataDxfId="151"/>
  </tableColumns>
  <tableStyleInfo name="TableStyleLight15" showFirstColumn="0" showLastColumn="0" showRowStripes="1" showColumnStripes="0"/>
</table>
</file>

<file path=xl/tables/table83.xml><?xml version="1.0" encoding="utf-8"?>
<table xmlns="http://schemas.openxmlformats.org/spreadsheetml/2006/main" id="75" name="Table1317435776" displayName="Table1317435776" ref="A2:C5" totalsRowShown="0" headerRowDxfId="150" dataDxfId="149" tableBorderDxfId="148">
  <autoFilter ref="A2:C5"/>
  <sortState ref="A3:B53">
    <sortCondition descending="1" ref="B2:B41"/>
  </sortState>
  <tableColumns count="3">
    <tableColumn id="1" name="CLUB" dataDxfId="147"/>
    <tableColumn id="2" name="SCORE" dataDxfId="146"/>
    <tableColumn id="4" name="POS" dataDxfId="145">
      <calculatedColumnFormula>SUMPRODUCT((B$3:B$5&gt;B3)/COUNTIF(B$3:B$5,B$3:B$5&amp;""))+1</calculatedColumnFormula>
    </tableColumn>
  </tableColumns>
  <tableStyleInfo name="TableStyleDark1" showFirstColumn="0" showLastColumn="0" showRowStripes="1" showColumnStripes="0"/>
</table>
</file>

<file path=xl/tables/table84.xml><?xml version="1.0" encoding="utf-8"?>
<table xmlns="http://schemas.openxmlformats.org/spreadsheetml/2006/main" id="70" name="Table13177271" displayName="Table13177271" ref="H2:I13" totalsRowShown="0" headerRowDxfId="144" headerRowBorderDxfId="143" tableBorderDxfId="142">
  <autoFilter ref="H2:I13"/>
  <sortState ref="H3:I13">
    <sortCondition descending="1" ref="I2:I13"/>
  </sortState>
  <tableColumns count="2">
    <tableColumn id="1" name="TOP 10 TOTAL" dataDxfId="141"/>
    <tableColumn id="2" name="TOTAL" dataDxfId="140"/>
  </tableColumns>
  <tableStyleInfo name="TableStyleLight15" showFirstColumn="0" showLastColumn="0" showRowStripes="1" showColumnStripes="0"/>
</table>
</file>

<file path=xl/tables/table85.xml><?xml version="1.0" encoding="utf-8"?>
<table xmlns="http://schemas.openxmlformats.org/spreadsheetml/2006/main" id="84" name="Table1317727185" displayName="Table1317727185" ref="K2:L12" totalsRowShown="0" headerRowDxfId="139" headerRowBorderDxfId="138" tableBorderDxfId="137">
  <autoFilter ref="K2:L12"/>
  <sortState ref="K3:L12">
    <sortCondition descending="1" ref="L2:L12"/>
  </sortState>
  <tableColumns count="2">
    <tableColumn id="1" name="TOP 10 TOTAL" dataDxfId="136"/>
    <tableColumn id="2" name="TOTAL" dataDxfId="135"/>
  </tableColumns>
  <tableStyleInfo name="TableStyleLight15" showFirstColumn="0" showLastColumn="0" showRowStripes="1" showColumnStripes="0"/>
</table>
</file>

<file path=xl/tables/table86.xml><?xml version="1.0" encoding="utf-8"?>
<table xmlns="http://schemas.openxmlformats.org/spreadsheetml/2006/main" id="85" name="Table13177286" displayName="Table13177286" ref="E2:F15" totalsRowShown="0" headerRowDxfId="131" headerRowBorderDxfId="130" tableBorderDxfId="129">
  <autoFilter ref="E2:F15"/>
  <sortState ref="E3:F15">
    <sortCondition descending="1" ref="F2:F15"/>
  </sortState>
  <tableColumns count="2">
    <tableColumn id="1" name="TOP 10 TOTAL" dataDxfId="128"/>
    <tableColumn id="2" name="TOTAL" dataDxfId="127"/>
  </tableColumns>
  <tableStyleInfo name="TableStyleLight15" showFirstColumn="0" showLastColumn="0" showRowStripes="1" showColumnStripes="0"/>
</table>
</file>

<file path=xl/tables/table87.xml><?xml version="1.0" encoding="utf-8"?>
<table xmlns="http://schemas.openxmlformats.org/spreadsheetml/2006/main" id="86" name="Table131743577687" displayName="Table131743577687" ref="A2:C15" totalsRowShown="0" headerRowDxfId="126" dataDxfId="125" tableBorderDxfId="124">
  <autoFilter ref="A2:C15"/>
  <sortState ref="A3:C11">
    <sortCondition ref="C2:C11"/>
  </sortState>
  <tableColumns count="3">
    <tableColumn id="1" name="CLUB" dataDxfId="123"/>
    <tableColumn id="2" name="SCORE" dataDxfId="122">
      <calculatedColumnFormula>F1</calculatedColumnFormula>
    </tableColumn>
    <tableColumn id="4" name="POS" dataDxfId="121">
      <calculatedColumnFormula>SUMPRODUCT((B$3:B$15&gt;B3)/COUNTIF(B$3:B$15,B$3:B$15&amp;""))+1</calculatedColumnFormula>
    </tableColumn>
  </tableColumns>
  <tableStyleInfo name="TableStyleDark1" showFirstColumn="0" showLastColumn="0" showRowStripes="1" showColumnStripes="0"/>
</table>
</file>

<file path=xl/tables/table88.xml><?xml version="1.0" encoding="utf-8"?>
<table xmlns="http://schemas.openxmlformats.org/spreadsheetml/2006/main" id="87" name="Table1317728588" displayName="Table1317728588" ref="H2:I29" totalsRowShown="0" headerRowDxfId="120" dataDxfId="118" headerRowBorderDxfId="119" tableBorderDxfId="117">
  <autoFilter ref="H2:I29"/>
  <sortState ref="H3:I29">
    <sortCondition descending="1" ref="I2:I29"/>
  </sortState>
  <tableColumns count="2">
    <tableColumn id="1" name="TOP 10 TOTAL" dataDxfId="116"/>
    <tableColumn id="2" name="TOTAL" dataDxfId="115"/>
  </tableColumns>
  <tableStyleInfo name="TableStyleLight15" showFirstColumn="0" showLastColumn="0" showRowStripes="1" showColumnStripes="0"/>
</table>
</file>

<file path=xl/tables/table89.xml><?xml version="1.0" encoding="utf-8"?>
<table xmlns="http://schemas.openxmlformats.org/spreadsheetml/2006/main" id="107" name="Table1317728588108" displayName="Table1317728588108" ref="K2:L29" totalsRowShown="0" headerRowDxfId="114" dataDxfId="112" headerRowBorderDxfId="113" tableBorderDxfId="111">
  <autoFilter ref="K2:L29"/>
  <sortState ref="K3:L29">
    <sortCondition descending="1" ref="L2:L29"/>
  </sortState>
  <tableColumns count="2">
    <tableColumn id="1" name="TOP 10 TOTAL" dataDxfId="110"/>
    <tableColumn id="2" name="TOTAL" dataDxfId="109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25" name="Table351550526" displayName="Table351550526" ref="U6:AC103" totalsRowShown="0" headerRowDxfId="983" headerRowBorderDxfId="982" tableBorderDxfId="981" totalsRowBorderDxfId="980">
  <autoFilter ref="U6:AC103"/>
  <sortState ref="U7:AC109">
    <sortCondition ref="AC6:AC109"/>
  </sortState>
  <tableColumns count="9">
    <tableColumn id="9" name="CLUB2" dataDxfId="979"/>
    <tableColumn id="1" name="CLUB3" dataDxfId="978"/>
    <tableColumn id="10" name="NAME3" dataDxfId="977"/>
    <tableColumn id="11" name="Floor4" dataDxfId="976"/>
    <tableColumn id="12" name="pos5" dataDxfId="975">
      <calculatedColumnFormula>SUMPRODUCT((X$7:X$103&gt;X7)/COUNTIF(X$7:X$103,X$7:X$103&amp;""))+1</calculatedColumnFormula>
    </tableColumn>
    <tableColumn id="13" name="Vault6" dataDxfId="974"/>
    <tableColumn id="14" name="pos27" dataDxfId="973">
      <calculatedColumnFormula>SUMPRODUCT((Z$7:Z$103&gt;Z7)/COUNTIF(Z$7:Z$103,Z$7:Z$103&amp;""))+1</calculatedColumnFormula>
    </tableColumn>
    <tableColumn id="15" name="TOTAL8" dataDxfId="972">
      <calculatedColumnFormula>Table351550526[[#This Row],[Floor4]]+Table351550526[[#This Row],[Vault6]]</calculatedColumnFormula>
    </tableColumn>
    <tableColumn id="16" name="pos39" dataDxfId="971">
      <calculatedColumnFormula>SUMPRODUCT((AB$7:AB$103&gt;AB7)/COUNTIF(AB$7:AB$103,AB$7:AB$103&amp;""))+1</calculatedColumnFormula>
    </tableColumn>
  </tableColumns>
  <tableStyleInfo name="TableStyleMedium5" showFirstColumn="0" showLastColumn="0" showRowStripes="1" showColumnStripes="0"/>
</table>
</file>

<file path=xl/tables/table90.xml><?xml version="1.0" encoding="utf-8"?>
<table xmlns="http://schemas.openxmlformats.org/spreadsheetml/2006/main" id="108" name="Table1317728588109" displayName="Table1317728588109" ref="N2:O12" totalsRowShown="0" headerRowDxfId="108" dataDxfId="106" headerRowBorderDxfId="107" tableBorderDxfId="105">
  <autoFilter ref="N2:O12"/>
  <sortState ref="N3:O12">
    <sortCondition descending="1" ref="O2:O12"/>
  </sortState>
  <tableColumns count="2">
    <tableColumn id="1" name="TOP 10 TOTAL" dataDxfId="104"/>
    <tableColumn id="2" name="TOTAL" dataDxfId="103"/>
  </tableColumns>
  <tableStyleInfo name="TableStyleLight15" showFirstColumn="0" showLastColumn="0" showRowStripes="1" showColumnStripes="0"/>
</table>
</file>

<file path=xl/tables/table91.xml><?xml version="1.0" encoding="utf-8"?>
<table xmlns="http://schemas.openxmlformats.org/spreadsheetml/2006/main" id="109" name="Table1317728588108110" displayName="Table1317728588108110" ref="Q2:R26" totalsRowShown="0" headerRowDxfId="102" dataDxfId="100" headerRowBorderDxfId="101" tableBorderDxfId="99">
  <autoFilter ref="Q2:R26"/>
  <sortState ref="Q3:R26">
    <sortCondition descending="1" ref="R2:R26"/>
  </sortState>
  <tableColumns count="2">
    <tableColumn id="1" name="TOP 10 TOTAL" dataDxfId="98"/>
    <tableColumn id="2" name="TOTAL" dataDxfId="97"/>
  </tableColumns>
  <tableStyleInfo name="TableStyleLight15" showFirstColumn="0" showLastColumn="0" showRowStripes="1" showColumnStripes="0"/>
</table>
</file>

<file path=xl/tables/table92.xml><?xml version="1.0" encoding="utf-8"?>
<table xmlns="http://schemas.openxmlformats.org/spreadsheetml/2006/main" id="110" name="Table1317728588108111" displayName="Table1317728588108111" ref="T2:U49" totalsRowShown="0" headerRowDxfId="96" dataDxfId="94" headerRowBorderDxfId="95" tableBorderDxfId="93">
  <autoFilter ref="T2:U49"/>
  <sortState ref="T3:U49">
    <sortCondition descending="1" ref="U2:U49"/>
  </sortState>
  <tableColumns count="2">
    <tableColumn id="1" name="TOP 10 TOTAL" dataDxfId="92"/>
    <tableColumn id="2" name="TOTAL" dataDxfId="91">
      <calculatedColumnFormula>'INT 9&amp;U G'!K30</calculatedColumnFormula>
    </tableColumn>
  </tableColumns>
  <tableStyleInfo name="TableStyleLight15" showFirstColumn="0" showLastColumn="0" showRowStripes="1" showColumnStripes="0"/>
</table>
</file>

<file path=xl/tables/table93.xml><?xml version="1.0" encoding="utf-8"?>
<table xmlns="http://schemas.openxmlformats.org/spreadsheetml/2006/main" id="111" name="Table1317728588108110112" displayName="Table1317728588108110112" ref="W2:X22" totalsRowShown="0" headerRowDxfId="90" dataDxfId="88" headerRowBorderDxfId="89" tableBorderDxfId="87">
  <autoFilter ref="W2:X22"/>
  <sortState ref="W3:X22">
    <sortCondition descending="1" ref="X2:X22"/>
  </sortState>
  <tableColumns count="2">
    <tableColumn id="1" name="TOP 10 TOTAL" dataDxfId="86"/>
    <tableColumn id="2" name="TOTAL" dataDxfId="85"/>
  </tableColumns>
  <tableStyleInfo name="TableStyleLight15" showFirstColumn="0" showLastColumn="0" showRowStripes="1" showColumnStripes="0"/>
</table>
</file>

<file path=xl/tables/table94.xml><?xml version="1.0" encoding="utf-8"?>
<table xmlns="http://schemas.openxmlformats.org/spreadsheetml/2006/main" id="112" name="Table1317728588108110112113" displayName="Table1317728588108110112113" ref="Z2:AA43" totalsRowShown="0" headerRowDxfId="84" dataDxfId="82" headerRowBorderDxfId="83" tableBorderDxfId="81">
  <autoFilter ref="Z2:AA43"/>
  <sortState ref="Z3:AA43">
    <sortCondition descending="1" ref="AA2:AA43"/>
  </sortState>
  <tableColumns count="2">
    <tableColumn id="1" name="TOP 10 TOTAL" dataDxfId="80"/>
    <tableColumn id="2" name="TOTAL" dataDxfId="79"/>
  </tableColumns>
  <tableStyleInfo name="TableStyleLight15" showFirstColumn="0" showLastColumn="0" showRowStripes="1" showColumnStripes="0"/>
</table>
</file>

<file path=xl/tables/table95.xml><?xml version="1.0" encoding="utf-8"?>
<table xmlns="http://schemas.openxmlformats.org/spreadsheetml/2006/main" id="113" name="Table1317728588108110112114" displayName="Table1317728588108110112114" ref="AC2:AD25" totalsRowShown="0" headerRowDxfId="78" dataDxfId="76" headerRowBorderDxfId="77" tableBorderDxfId="75">
  <autoFilter ref="AC2:AD25"/>
  <sortState ref="AC3:AD25">
    <sortCondition descending="1" ref="AD2:AD25"/>
  </sortState>
  <tableColumns count="2">
    <tableColumn id="1" name="TOP 10 TOTAL" dataDxfId="74"/>
    <tableColumn id="2" name="TOTAL" dataDxfId="73"/>
  </tableColumns>
  <tableStyleInfo name="TableStyleLight15" showFirstColumn="0" showLastColumn="0" showRowStripes="1" showColumnStripes="0"/>
</table>
</file>

<file path=xl/tables/table96.xml><?xml version="1.0" encoding="utf-8"?>
<table xmlns="http://schemas.openxmlformats.org/spreadsheetml/2006/main" id="114" name="Table1317728588108110112114115" displayName="Table1317728588108110112114115" ref="AF2:AG21" totalsRowShown="0" headerRowDxfId="72" dataDxfId="70" headerRowBorderDxfId="71" tableBorderDxfId="69">
  <autoFilter ref="AF2:AG21"/>
  <sortState ref="AF3:AG21">
    <sortCondition descending="1" ref="AG2:AG21"/>
  </sortState>
  <tableColumns count="2">
    <tableColumn id="1" name="TOP 10 TOTAL" dataDxfId="68"/>
    <tableColumn id="2" name="TOTAL" dataDxfId="67"/>
  </tableColumns>
  <tableStyleInfo name="TableStyleLight15" showFirstColumn="0" showLastColumn="0" showRowStripes="1" showColumnStripes="0"/>
</table>
</file>

<file path=xl/tables/table97.xml><?xml version="1.0" encoding="utf-8"?>
<table xmlns="http://schemas.openxmlformats.org/spreadsheetml/2006/main" id="115" name="Table1317728588108110112114115116" displayName="Table1317728588108110112114115116" ref="AI2:AJ14" totalsRowShown="0" headerRowDxfId="66" dataDxfId="64" headerRowBorderDxfId="65" tableBorderDxfId="63">
  <autoFilter ref="AI2:AJ14"/>
  <sortState ref="AI3:AJ14">
    <sortCondition descending="1" ref="AJ2:AJ14"/>
  </sortState>
  <tableColumns count="2">
    <tableColumn id="1" name="TOP 10 TOTAL" dataDxfId="62"/>
    <tableColumn id="2" name="TOTAL" dataDxfId="61"/>
  </tableColumns>
  <tableStyleInfo name="TableStyleLight15" showFirstColumn="0" showLastColumn="0" showRowStripes="1" showColumnStripes="0"/>
</table>
</file>

<file path=xl/tables/table98.xml><?xml version="1.0" encoding="utf-8"?>
<table xmlns="http://schemas.openxmlformats.org/spreadsheetml/2006/main" id="116" name="Table1317728588108110112114115116117" displayName="Table1317728588108110112114115116117" ref="AL2:AM14" totalsRowShown="0" headerRowDxfId="60" dataDxfId="58" headerRowBorderDxfId="59" tableBorderDxfId="57">
  <autoFilter ref="AL2:AM14"/>
  <sortState ref="AL3:AM14">
    <sortCondition descending="1" ref="AM2:AM14"/>
  </sortState>
  <tableColumns count="2">
    <tableColumn id="1" name="TOP 10 TOTAL" dataDxfId="56"/>
    <tableColumn id="2" name="TOTAL" dataDxfId="55"/>
  </tableColumns>
  <tableStyleInfo name="TableStyleLight15" showFirstColumn="0" showLastColumn="0" showRowStripes="1" showColumnStripes="0"/>
</table>
</file>

<file path=xl/tables/table99.xml><?xml version="1.0" encoding="utf-8"?>
<table xmlns="http://schemas.openxmlformats.org/spreadsheetml/2006/main" id="117" name="Table1317728588108110112114115116117118" displayName="Table1317728588108110112114115116117118" ref="AO2:AP31" totalsRowShown="0" headerRowDxfId="54" dataDxfId="52" headerRowBorderDxfId="53" tableBorderDxfId="51">
  <autoFilter ref="AO2:AP31"/>
  <sortState ref="AO3:AP31">
    <sortCondition descending="1" ref="AP2:AP31"/>
  </sortState>
  <tableColumns count="2">
    <tableColumn id="1" name="TOP 10 TOTAL" dataDxfId="50"/>
    <tableColumn id="2" name="TOTAL" dataDxfId="49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</a:spPr>
      <a:bodyPr vertOverflow="clip" horzOverflow="clip" rtlCol="0" anchor="t"/>
      <a:lstStyle>
        <a:defPPr algn="l">
          <a:defRPr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table" Target="../tables/table1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table" Target="../tables/table2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table" Target="../tables/table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table" Target="../tables/table2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table" Target="../tables/table2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table" Target="../tables/table3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table" Target="../tables/table3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table" Target="../tables/table3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table" Target="../tables/table4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table" Target="../tables/table43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table" Target="../tables/table4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7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table" Target="../tables/table48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table" Target="../tables/table5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2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table" Target="../tables/table5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table" Target="../tables/table5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7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8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table" Target="../tables/table59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2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4.xml"/><Relationship Id="rId1" Type="http://schemas.openxmlformats.org/officeDocument/2006/relationships/table" Target="../tables/table63.xml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2.xml"/><Relationship Id="rId13" Type="http://schemas.openxmlformats.org/officeDocument/2006/relationships/table" Target="../tables/table77.xml"/><Relationship Id="rId3" Type="http://schemas.openxmlformats.org/officeDocument/2006/relationships/table" Target="../tables/table67.xml"/><Relationship Id="rId7" Type="http://schemas.openxmlformats.org/officeDocument/2006/relationships/table" Target="../tables/table71.xml"/><Relationship Id="rId12" Type="http://schemas.openxmlformats.org/officeDocument/2006/relationships/table" Target="../tables/table76.xml"/><Relationship Id="rId17" Type="http://schemas.openxmlformats.org/officeDocument/2006/relationships/table" Target="../tables/table81.xml"/><Relationship Id="rId2" Type="http://schemas.openxmlformats.org/officeDocument/2006/relationships/table" Target="../tables/table66.xml"/><Relationship Id="rId16" Type="http://schemas.openxmlformats.org/officeDocument/2006/relationships/table" Target="../tables/table80.xml"/><Relationship Id="rId1" Type="http://schemas.openxmlformats.org/officeDocument/2006/relationships/table" Target="../tables/table65.xml"/><Relationship Id="rId6" Type="http://schemas.openxmlformats.org/officeDocument/2006/relationships/table" Target="../tables/table70.xml"/><Relationship Id="rId11" Type="http://schemas.openxmlformats.org/officeDocument/2006/relationships/table" Target="../tables/table75.xml"/><Relationship Id="rId5" Type="http://schemas.openxmlformats.org/officeDocument/2006/relationships/table" Target="../tables/table69.xml"/><Relationship Id="rId15" Type="http://schemas.openxmlformats.org/officeDocument/2006/relationships/table" Target="../tables/table79.xml"/><Relationship Id="rId10" Type="http://schemas.openxmlformats.org/officeDocument/2006/relationships/table" Target="../tables/table74.xml"/><Relationship Id="rId4" Type="http://schemas.openxmlformats.org/officeDocument/2006/relationships/table" Target="../tables/table68.xml"/><Relationship Id="rId9" Type="http://schemas.openxmlformats.org/officeDocument/2006/relationships/table" Target="../tables/table73.xml"/><Relationship Id="rId14" Type="http://schemas.openxmlformats.org/officeDocument/2006/relationships/table" Target="../tables/table78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4.xml"/><Relationship Id="rId2" Type="http://schemas.openxmlformats.org/officeDocument/2006/relationships/table" Target="../tables/table83.xml"/><Relationship Id="rId1" Type="http://schemas.openxmlformats.org/officeDocument/2006/relationships/table" Target="../tables/table82.xml"/><Relationship Id="rId4" Type="http://schemas.openxmlformats.org/officeDocument/2006/relationships/table" Target="../tables/table85.xm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3.xml"/><Relationship Id="rId13" Type="http://schemas.openxmlformats.org/officeDocument/2006/relationships/table" Target="../tables/table98.xml"/><Relationship Id="rId3" Type="http://schemas.openxmlformats.org/officeDocument/2006/relationships/table" Target="../tables/table88.xml"/><Relationship Id="rId7" Type="http://schemas.openxmlformats.org/officeDocument/2006/relationships/table" Target="../tables/table92.xml"/><Relationship Id="rId12" Type="http://schemas.openxmlformats.org/officeDocument/2006/relationships/table" Target="../tables/table97.xml"/><Relationship Id="rId2" Type="http://schemas.openxmlformats.org/officeDocument/2006/relationships/table" Target="../tables/table87.xml"/><Relationship Id="rId1" Type="http://schemas.openxmlformats.org/officeDocument/2006/relationships/table" Target="../tables/table86.xml"/><Relationship Id="rId6" Type="http://schemas.openxmlformats.org/officeDocument/2006/relationships/table" Target="../tables/table91.xml"/><Relationship Id="rId11" Type="http://schemas.openxmlformats.org/officeDocument/2006/relationships/table" Target="../tables/table96.xml"/><Relationship Id="rId5" Type="http://schemas.openxmlformats.org/officeDocument/2006/relationships/table" Target="../tables/table90.xml"/><Relationship Id="rId10" Type="http://schemas.openxmlformats.org/officeDocument/2006/relationships/table" Target="../tables/table95.xml"/><Relationship Id="rId4" Type="http://schemas.openxmlformats.org/officeDocument/2006/relationships/table" Target="../tables/table89.xml"/><Relationship Id="rId9" Type="http://schemas.openxmlformats.org/officeDocument/2006/relationships/table" Target="../tables/table94.xml"/><Relationship Id="rId14" Type="http://schemas.openxmlformats.org/officeDocument/2006/relationships/table" Target="../tables/table99.xml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7.xml"/><Relationship Id="rId3" Type="http://schemas.openxmlformats.org/officeDocument/2006/relationships/table" Target="../tables/table102.xml"/><Relationship Id="rId7" Type="http://schemas.openxmlformats.org/officeDocument/2006/relationships/table" Target="../tables/table106.xml"/><Relationship Id="rId2" Type="http://schemas.openxmlformats.org/officeDocument/2006/relationships/table" Target="../tables/table101.xml"/><Relationship Id="rId1" Type="http://schemas.openxmlformats.org/officeDocument/2006/relationships/table" Target="../tables/table100.xml"/><Relationship Id="rId6" Type="http://schemas.openxmlformats.org/officeDocument/2006/relationships/table" Target="../tables/table105.xml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Relationship Id="rId9" Type="http://schemas.openxmlformats.org/officeDocument/2006/relationships/table" Target="../tables/table10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31"/>
  <sheetViews>
    <sheetView tabSelected="1" zoomScale="90" zoomScaleNormal="90" zoomScalePageLayoutView="90" workbookViewId="0">
      <selection activeCell="N31" sqref="N31"/>
    </sheetView>
  </sheetViews>
  <sheetFormatPr defaultColWidth="8.875" defaultRowHeight="15.75"/>
  <cols>
    <col min="1" max="1" width="5.12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19.125" customWidth="1"/>
    <col min="9" max="10" width="7.5" bestFit="1" customWidth="1"/>
    <col min="11" max="11" width="7.375" bestFit="1" customWidth="1"/>
    <col min="12" max="12" width="0.5" customWidth="1"/>
    <col min="13" max="13" width="5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625" customWidth="1"/>
    <col min="22" max="22" width="6" customWidth="1"/>
    <col min="23" max="23" width="21.5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138"/>
      <c r="AE1" s="138"/>
      <c r="AF1" s="138"/>
      <c r="AG1" s="138"/>
      <c r="AH1" s="138"/>
      <c r="AI1" s="138"/>
      <c r="AJ1" s="138"/>
      <c r="AK1" s="138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s="32" customFormat="1" ht="21" customHeight="1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139"/>
      <c r="AE2" s="139"/>
      <c r="AF2" s="139"/>
      <c r="AG2" s="139"/>
      <c r="AH2" s="139"/>
      <c r="AI2" s="139"/>
      <c r="AJ2" s="139"/>
      <c r="AK2" s="3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"/>
      <c r="BR2" s="2"/>
    </row>
    <row r="3" spans="1:70" ht="28.5" customHeight="1">
      <c r="A3" s="8"/>
      <c r="B3" s="273"/>
      <c r="E3" s="4"/>
      <c r="F3" s="4"/>
      <c r="G3" s="4"/>
      <c r="H3" s="4"/>
      <c r="I3" s="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48"/>
      <c r="AB3" s="28"/>
      <c r="AC3" s="30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</row>
    <row r="4" spans="1:70" ht="21">
      <c r="E4" s="264"/>
      <c r="F4" s="264"/>
      <c r="G4" s="461" t="s">
        <v>108</v>
      </c>
      <c r="H4" s="462"/>
      <c r="I4" s="463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48"/>
      <c r="AB4" s="28"/>
      <c r="AC4" s="30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</row>
    <row r="6" spans="1:70" s="8" customFormat="1">
      <c r="A6" s="270" t="s">
        <v>252</v>
      </c>
      <c r="B6" s="271"/>
      <c r="C6" s="271"/>
      <c r="D6" s="271"/>
      <c r="E6" s="272"/>
      <c r="G6" s="146" t="s">
        <v>1143</v>
      </c>
      <c r="H6" s="271"/>
      <c r="I6" s="271"/>
      <c r="J6" s="271"/>
      <c r="K6" s="272"/>
      <c r="M6" s="146" t="s">
        <v>201</v>
      </c>
      <c r="N6" s="271"/>
      <c r="O6" s="271"/>
      <c r="P6" s="271"/>
      <c r="Q6" s="272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265" t="s">
        <v>1</v>
      </c>
      <c r="B7" s="265" t="s">
        <v>2</v>
      </c>
      <c r="C7" s="265" t="s">
        <v>3</v>
      </c>
      <c r="D7" s="265" t="s">
        <v>4</v>
      </c>
      <c r="E7" s="265" t="s">
        <v>5</v>
      </c>
      <c r="G7" s="268" t="s">
        <v>1</v>
      </c>
      <c r="H7" s="265" t="s">
        <v>2</v>
      </c>
      <c r="I7" s="265" t="s">
        <v>3</v>
      </c>
      <c r="J7" s="265" t="s">
        <v>4</v>
      </c>
      <c r="K7" s="265" t="s">
        <v>5</v>
      </c>
      <c r="M7" s="268" t="s">
        <v>1</v>
      </c>
      <c r="N7" s="265" t="s">
        <v>2</v>
      </c>
      <c r="O7" s="265" t="s">
        <v>3</v>
      </c>
      <c r="P7" s="265" t="s">
        <v>4</v>
      </c>
      <c r="Q7" s="265" t="s">
        <v>5</v>
      </c>
      <c r="U7" s="33" t="s">
        <v>135</v>
      </c>
      <c r="V7" s="149">
        <v>1</v>
      </c>
      <c r="W7" s="240" t="s">
        <v>257</v>
      </c>
      <c r="X7" s="14">
        <f>C8</f>
        <v>8.8000000000000007</v>
      </c>
      <c r="Y7" s="283">
        <f t="shared" ref="Y7:Y31" si="0">SUMPRODUCT((X$7:X$31&gt;X7)/COUNTIF(X$7:X$31,X$7:X$31&amp;""))+1</f>
        <v>8</v>
      </c>
      <c r="Z7" s="14">
        <f>D8</f>
        <v>5.6</v>
      </c>
      <c r="AA7" s="283">
        <f>SUMPRODUCT((Z$7:Z$31&gt;Z7)/COUNTIF(Z$7:Z$31,Z$7:Z$31&amp;""))+1</f>
        <v>16</v>
      </c>
      <c r="AB7" s="69">
        <f>Table351213142449[[#This Row],[Floor]]+Table351213142449[[#This Row],[Vault]]</f>
        <v>14.4</v>
      </c>
      <c r="AC7" s="283">
        <f t="shared" ref="AC7:AC31" si="1">SUMPRODUCT((AB$7:AB$31&gt;AB7)/COUNTIF(AB$7:AB$31,AB$7:AB$31&amp;""))+1</f>
        <v>17</v>
      </c>
    </row>
    <row r="8" spans="1:70">
      <c r="A8" s="149">
        <v>1</v>
      </c>
      <c r="B8" s="93" t="s">
        <v>257</v>
      </c>
      <c r="C8" s="13">
        <v>8.8000000000000007</v>
      </c>
      <c r="D8" s="13">
        <v>5.6</v>
      </c>
      <c r="E8" s="13">
        <f>SUM(C8,D8)</f>
        <v>14.4</v>
      </c>
      <c r="G8" s="149">
        <v>7</v>
      </c>
      <c r="H8" s="93" t="s">
        <v>1144</v>
      </c>
      <c r="I8" s="13">
        <v>8.75</v>
      </c>
      <c r="J8" s="13">
        <v>7.1</v>
      </c>
      <c r="K8" s="13">
        <f>SUM(I8,J8)</f>
        <v>15.85</v>
      </c>
      <c r="M8" s="149">
        <v>13</v>
      </c>
      <c r="N8" s="93" t="s">
        <v>1236</v>
      </c>
      <c r="O8" s="13">
        <v>8.85</v>
      </c>
      <c r="P8" s="13">
        <v>7.6</v>
      </c>
      <c r="Q8" s="13">
        <f>SUM(O8,P8)</f>
        <v>16.45</v>
      </c>
      <c r="U8" s="400" t="s">
        <v>135</v>
      </c>
      <c r="V8" s="396">
        <v>2</v>
      </c>
      <c r="W8" s="397" t="s">
        <v>255</v>
      </c>
      <c r="X8" s="401">
        <f t="shared" ref="X8:X10" si="2">C9</f>
        <v>0</v>
      </c>
      <c r="Y8" s="402">
        <f t="shared" si="0"/>
        <v>22</v>
      </c>
      <c r="Z8" s="401">
        <f t="shared" ref="Z8:Z12" si="3">D9</f>
        <v>0</v>
      </c>
      <c r="AA8" s="402">
        <f t="shared" ref="AA8:AA31" si="4">SUMPRODUCT((Z$7:Z$31&gt;Z8)/COUNTIF(Z$7:Z$31,Z$7:Z$31&amp;""))+1</f>
        <v>17</v>
      </c>
      <c r="AB8" s="403">
        <f>Table351213142449[[#This Row],[Floor]]+Table351213142449[[#This Row],[Vault]]</f>
        <v>0</v>
      </c>
      <c r="AC8" s="402">
        <f t="shared" si="1"/>
        <v>22</v>
      </c>
    </row>
    <row r="9" spans="1:70">
      <c r="A9" s="396">
        <v>2</v>
      </c>
      <c r="B9" s="397" t="s">
        <v>255</v>
      </c>
      <c r="C9" s="398">
        <v>0</v>
      </c>
      <c r="D9" s="398">
        <v>0</v>
      </c>
      <c r="E9" s="398">
        <f t="shared" ref="E9:E13" si="5">SUM(C9,D9)</f>
        <v>0</v>
      </c>
      <c r="G9" s="149">
        <v>8</v>
      </c>
      <c r="H9" s="93" t="s">
        <v>1145</v>
      </c>
      <c r="I9" s="13">
        <v>8.9499999999999993</v>
      </c>
      <c r="J9" s="13">
        <v>6.6</v>
      </c>
      <c r="K9" s="13">
        <f t="shared" ref="K9:K13" si="6">SUM(I9,J9)</f>
        <v>15.549999999999999</v>
      </c>
      <c r="M9" s="149">
        <v>14</v>
      </c>
      <c r="N9" s="93" t="s">
        <v>1239</v>
      </c>
      <c r="O9" s="13">
        <v>8.25</v>
      </c>
      <c r="P9" s="13">
        <v>7</v>
      </c>
      <c r="Q9" s="13">
        <f t="shared" ref="Q9:Q13" si="7">SUM(O9,P9)</f>
        <v>15.25</v>
      </c>
      <c r="U9" s="33" t="s">
        <v>135</v>
      </c>
      <c r="V9" s="149">
        <v>3</v>
      </c>
      <c r="W9" s="240" t="s">
        <v>254</v>
      </c>
      <c r="X9" s="14">
        <f t="shared" si="2"/>
        <v>9.35</v>
      </c>
      <c r="Y9" s="283">
        <f t="shared" si="0"/>
        <v>3</v>
      </c>
      <c r="Z9" s="14">
        <f t="shared" si="3"/>
        <v>7.1</v>
      </c>
      <c r="AA9" s="283">
        <f t="shared" si="4"/>
        <v>7</v>
      </c>
      <c r="AB9" s="69">
        <f>Table351213142449[[#This Row],[Floor]]+Table351213142449[[#This Row],[Vault]]</f>
        <v>16.45</v>
      </c>
      <c r="AC9" s="283">
        <f t="shared" si="1"/>
        <v>3</v>
      </c>
    </row>
    <row r="10" spans="1:70">
      <c r="A10" s="149">
        <v>3</v>
      </c>
      <c r="B10" s="93" t="s">
        <v>254</v>
      </c>
      <c r="C10" s="13">
        <v>9.35</v>
      </c>
      <c r="D10" s="13">
        <v>7.1</v>
      </c>
      <c r="E10" s="13">
        <f t="shared" si="5"/>
        <v>16.45</v>
      </c>
      <c r="G10" s="149">
        <v>9</v>
      </c>
      <c r="H10" s="93" t="s">
        <v>1146</v>
      </c>
      <c r="I10" s="13">
        <v>8.5500000000000007</v>
      </c>
      <c r="J10" s="13">
        <v>6.2</v>
      </c>
      <c r="K10" s="13">
        <f t="shared" si="6"/>
        <v>14.75</v>
      </c>
      <c r="M10" s="149">
        <v>15</v>
      </c>
      <c r="N10" s="93" t="s">
        <v>1237</v>
      </c>
      <c r="O10" s="13">
        <v>8.9</v>
      </c>
      <c r="P10" s="13">
        <v>7.6</v>
      </c>
      <c r="Q10" s="13">
        <f t="shared" si="7"/>
        <v>16.5</v>
      </c>
      <c r="U10" s="33" t="s">
        <v>135</v>
      </c>
      <c r="V10" s="149">
        <v>4</v>
      </c>
      <c r="W10" s="240" t="s">
        <v>253</v>
      </c>
      <c r="X10" s="14">
        <f t="shared" si="2"/>
        <v>9.5</v>
      </c>
      <c r="Y10" s="283">
        <f t="shared" si="0"/>
        <v>1</v>
      </c>
      <c r="Z10" s="14">
        <f t="shared" si="3"/>
        <v>7.7</v>
      </c>
      <c r="AA10" s="283">
        <f t="shared" si="4"/>
        <v>2</v>
      </c>
      <c r="AB10" s="69">
        <f>Table351213142449[[#This Row],[Floor]]+Table351213142449[[#This Row],[Vault]]</f>
        <v>17.2</v>
      </c>
      <c r="AC10" s="283">
        <f t="shared" si="1"/>
        <v>1</v>
      </c>
    </row>
    <row r="11" spans="1:70">
      <c r="A11" s="149">
        <v>4</v>
      </c>
      <c r="B11" s="93" t="s">
        <v>253</v>
      </c>
      <c r="C11" s="13">
        <v>9.5</v>
      </c>
      <c r="D11" s="13">
        <v>7.7</v>
      </c>
      <c r="E11" s="13">
        <f t="shared" si="5"/>
        <v>17.2</v>
      </c>
      <c r="G11" s="149">
        <v>10</v>
      </c>
      <c r="H11" s="93" t="s">
        <v>475</v>
      </c>
      <c r="I11" s="13">
        <v>8.75</v>
      </c>
      <c r="J11" s="13">
        <v>6.3</v>
      </c>
      <c r="K11" s="13">
        <f t="shared" si="6"/>
        <v>15.05</v>
      </c>
      <c r="M11" s="149">
        <v>16</v>
      </c>
      <c r="N11" s="93" t="s">
        <v>1238</v>
      </c>
      <c r="O11" s="13">
        <v>8.65</v>
      </c>
      <c r="P11" s="13">
        <v>7.3</v>
      </c>
      <c r="Q11" s="13">
        <f t="shared" si="7"/>
        <v>15.95</v>
      </c>
      <c r="U11" s="400" t="s">
        <v>135</v>
      </c>
      <c r="V11" s="396">
        <v>5</v>
      </c>
      <c r="W11" s="399" t="s">
        <v>662</v>
      </c>
      <c r="X11" s="401">
        <f>C12</f>
        <v>0</v>
      </c>
      <c r="Y11" s="402">
        <f t="shared" si="0"/>
        <v>22</v>
      </c>
      <c r="Z11" s="401">
        <f t="shared" si="3"/>
        <v>0</v>
      </c>
      <c r="AA11" s="402">
        <f t="shared" si="4"/>
        <v>17</v>
      </c>
      <c r="AB11" s="403">
        <f>Table351213142449[[#This Row],[Floor]]+Table351213142449[[#This Row],[Vault]]</f>
        <v>0</v>
      </c>
      <c r="AC11" s="402">
        <f t="shared" si="1"/>
        <v>22</v>
      </c>
    </row>
    <row r="12" spans="1:70">
      <c r="A12" s="396">
        <v>5</v>
      </c>
      <c r="B12" s="399" t="s">
        <v>662</v>
      </c>
      <c r="C12" s="398">
        <v>0</v>
      </c>
      <c r="D12" s="398">
        <v>0</v>
      </c>
      <c r="E12" s="398">
        <f t="shared" si="5"/>
        <v>0</v>
      </c>
      <c r="G12" s="149">
        <v>11</v>
      </c>
      <c r="H12" s="97"/>
      <c r="I12" s="13">
        <v>0</v>
      </c>
      <c r="J12" s="13">
        <v>0</v>
      </c>
      <c r="K12" s="13">
        <f t="shared" si="6"/>
        <v>0</v>
      </c>
      <c r="M12" s="149">
        <v>17</v>
      </c>
      <c r="N12" s="97"/>
      <c r="O12" s="13">
        <v>0</v>
      </c>
      <c r="P12" s="13">
        <v>0</v>
      </c>
      <c r="Q12" s="13">
        <f t="shared" si="7"/>
        <v>0</v>
      </c>
      <c r="U12" s="33" t="s">
        <v>135</v>
      </c>
      <c r="V12" s="149">
        <v>6</v>
      </c>
      <c r="W12" s="234" t="s">
        <v>663</v>
      </c>
      <c r="X12" s="14">
        <f>C13</f>
        <v>9.4</v>
      </c>
      <c r="Y12" s="283">
        <f t="shared" si="0"/>
        <v>2</v>
      </c>
      <c r="Z12" s="14">
        <f t="shared" si="3"/>
        <v>6.3</v>
      </c>
      <c r="AA12" s="283">
        <f t="shared" si="4"/>
        <v>12</v>
      </c>
      <c r="AB12" s="69">
        <f>Table351213142449[[#This Row],[Floor]]+Table351213142449[[#This Row],[Vault]]</f>
        <v>15.7</v>
      </c>
      <c r="AC12" s="283">
        <f t="shared" si="1"/>
        <v>8</v>
      </c>
    </row>
    <row r="13" spans="1:70" ht="16.5" thickBot="1">
      <c r="A13" s="149">
        <v>6</v>
      </c>
      <c r="B13" s="100" t="s">
        <v>663</v>
      </c>
      <c r="C13" s="13">
        <v>9.4</v>
      </c>
      <c r="D13" s="13">
        <v>6.3</v>
      </c>
      <c r="E13" s="13">
        <f t="shared" si="5"/>
        <v>15.7</v>
      </c>
      <c r="F13" s="8"/>
      <c r="G13" s="149">
        <v>12</v>
      </c>
      <c r="H13" s="97"/>
      <c r="I13" s="13">
        <v>0</v>
      </c>
      <c r="J13" s="13">
        <v>0</v>
      </c>
      <c r="K13" s="13">
        <f t="shared" si="6"/>
        <v>0</v>
      </c>
      <c r="L13" s="8"/>
      <c r="M13" s="149">
        <v>18</v>
      </c>
      <c r="N13" s="97"/>
      <c r="O13" s="13">
        <v>0</v>
      </c>
      <c r="P13" s="13">
        <v>0</v>
      </c>
      <c r="Q13" s="13">
        <f t="shared" si="7"/>
        <v>0</v>
      </c>
      <c r="U13" s="33" t="s">
        <v>81</v>
      </c>
      <c r="V13" s="149">
        <v>19</v>
      </c>
      <c r="W13" s="234" t="s">
        <v>687</v>
      </c>
      <c r="X13" s="13">
        <f>C19</f>
        <v>6.35</v>
      </c>
      <c r="Y13" s="283">
        <f t="shared" si="0"/>
        <v>21</v>
      </c>
      <c r="Z13" s="13">
        <f>D19</f>
        <v>8</v>
      </c>
      <c r="AA13" s="283">
        <f t="shared" si="4"/>
        <v>1</v>
      </c>
      <c r="AB13" s="69">
        <f>Table351213142449[[#This Row],[Floor]]+Table351213142449[[#This Row],[Vault]]</f>
        <v>14.35</v>
      </c>
      <c r="AC13" s="283">
        <f t="shared" si="1"/>
        <v>18</v>
      </c>
    </row>
    <row r="14" spans="1:70" ht="16.5" thickBot="1">
      <c r="B14" s="25" t="s">
        <v>10</v>
      </c>
      <c r="C14" s="19">
        <f>SUM(C8:C13)-SMALL(C8:C13,1)-SMALL(C8:C13,2)</f>
        <v>37.049999999999997</v>
      </c>
      <c r="D14" s="19">
        <f>SUM(D8:D13)-SMALL(D8:D13,1)-SMALL(D8:D13,2)</f>
        <v>26.7</v>
      </c>
      <c r="E14" s="20">
        <f>SUM(C14:D14)</f>
        <v>63.75</v>
      </c>
      <c r="F14" s="8"/>
      <c r="H14" s="25" t="s">
        <v>10</v>
      </c>
      <c r="I14" s="19">
        <f>SUM(I8:I13)-SMALL(I8:I13,1)-SMALL(I8:I13,2)</f>
        <v>35</v>
      </c>
      <c r="J14" s="19">
        <f>SUM(J8:J13)-SMALL(J8:J13,1)-SMALL(J8:J13,2)</f>
        <v>26.2</v>
      </c>
      <c r="K14" s="20">
        <f>SUM(I14:J14)</f>
        <v>61.2</v>
      </c>
      <c r="L14" s="8"/>
      <c r="N14" s="25" t="s">
        <v>10</v>
      </c>
      <c r="O14" s="19">
        <f>SUM(O8:O13)-SMALL(O8:O13,1)-SMALL(O8:O13,2)</f>
        <v>34.65</v>
      </c>
      <c r="P14" s="19">
        <f>SUM(P8:P13)-SMALL(P8:P13,1)-SMALL(P8:P13,2)</f>
        <v>29.5</v>
      </c>
      <c r="Q14" s="20">
        <f>SUM(O14:P14)</f>
        <v>64.150000000000006</v>
      </c>
      <c r="U14" s="33" t="s">
        <v>917</v>
      </c>
      <c r="V14" s="149">
        <v>20</v>
      </c>
      <c r="W14" s="240" t="s">
        <v>925</v>
      </c>
      <c r="X14" s="13">
        <f>I24</f>
        <v>8.4499999999999993</v>
      </c>
      <c r="Y14" s="283">
        <f t="shared" si="0"/>
        <v>12</v>
      </c>
      <c r="Z14" s="13">
        <f>J24</f>
        <v>6.9</v>
      </c>
      <c r="AA14" s="283">
        <f t="shared" si="4"/>
        <v>9</v>
      </c>
      <c r="AB14" s="69">
        <f>Table351213142449[[#This Row],[Floor]]+Table351213142449[[#This Row],[Vault]]</f>
        <v>15.35</v>
      </c>
      <c r="AC14" s="283">
        <f t="shared" si="1"/>
        <v>11</v>
      </c>
    </row>
    <row r="15" spans="1:70">
      <c r="B15" s="94" t="s">
        <v>37</v>
      </c>
      <c r="D15" s="25"/>
      <c r="E15" s="26"/>
      <c r="H15" s="94" t="s">
        <v>37</v>
      </c>
      <c r="J15" s="25"/>
      <c r="K15" s="26"/>
      <c r="N15" s="94" t="s">
        <v>37</v>
      </c>
      <c r="P15" s="25"/>
      <c r="Q15" s="26"/>
      <c r="U15" s="33" t="s">
        <v>223</v>
      </c>
      <c r="V15" s="149">
        <v>21</v>
      </c>
      <c r="W15" s="234" t="s">
        <v>945</v>
      </c>
      <c r="X15" s="13">
        <f>I19</f>
        <v>7.65</v>
      </c>
      <c r="Y15" s="283">
        <f t="shared" si="0"/>
        <v>19</v>
      </c>
      <c r="Z15" s="13">
        <f>J19</f>
        <v>6.6</v>
      </c>
      <c r="AA15" s="283">
        <f t="shared" si="4"/>
        <v>10</v>
      </c>
      <c r="AB15" s="69">
        <f>Table351213142449[[#This Row],[Floor]]+Table351213142449[[#This Row],[Vault]]</f>
        <v>14.25</v>
      </c>
      <c r="AC15" s="283">
        <f t="shared" si="1"/>
        <v>19</v>
      </c>
    </row>
    <row r="16" spans="1:70">
      <c r="G16" s="264"/>
      <c r="H16" s="264"/>
      <c r="I16" s="264"/>
      <c r="J16" s="264"/>
      <c r="K16" s="264"/>
      <c r="M16" s="111"/>
      <c r="N16" s="111"/>
      <c r="O16" s="111"/>
      <c r="P16" s="111"/>
      <c r="Q16" s="111"/>
      <c r="R16" s="41"/>
      <c r="S16" s="41"/>
      <c r="T16" s="41"/>
      <c r="U16" s="33" t="s">
        <v>223</v>
      </c>
      <c r="V16" s="149">
        <v>22</v>
      </c>
      <c r="W16" s="234" t="s">
        <v>946</v>
      </c>
      <c r="X16" s="13">
        <f>I20</f>
        <v>8.8000000000000007</v>
      </c>
      <c r="Y16" s="283">
        <f t="shared" si="0"/>
        <v>8</v>
      </c>
      <c r="Z16" s="13">
        <f>J20</f>
        <v>7.3</v>
      </c>
      <c r="AA16" s="283">
        <f t="shared" si="4"/>
        <v>5</v>
      </c>
      <c r="AB16" s="69">
        <f>Table351213142449[[#This Row],[Floor]]+Table351213142449[[#This Row],[Vault]]</f>
        <v>16.100000000000001</v>
      </c>
      <c r="AC16" s="283">
        <f t="shared" si="1"/>
        <v>4</v>
      </c>
    </row>
    <row r="17" spans="1:29">
      <c r="A17" s="270" t="s">
        <v>1299</v>
      </c>
      <c r="B17" s="271"/>
      <c r="C17" s="271"/>
      <c r="D17" s="271"/>
      <c r="E17" s="272"/>
      <c r="F17" s="264"/>
      <c r="G17" s="171" t="s">
        <v>1305</v>
      </c>
      <c r="H17" s="271"/>
      <c r="I17" s="271"/>
      <c r="J17" s="271"/>
      <c r="K17" s="272"/>
      <c r="M17" s="152"/>
      <c r="N17" s="39" t="s">
        <v>12</v>
      </c>
      <c r="O17" s="43" t="s">
        <v>5</v>
      </c>
      <c r="P17" s="44" t="s">
        <v>11</v>
      </c>
      <c r="Q17" s="73"/>
      <c r="U17" s="33" t="s">
        <v>391</v>
      </c>
      <c r="V17" s="149">
        <v>23</v>
      </c>
      <c r="W17" s="240" t="s">
        <v>1013</v>
      </c>
      <c r="X17" s="14">
        <f>I28</f>
        <v>7.15</v>
      </c>
      <c r="Y17" s="283">
        <f t="shared" si="0"/>
        <v>20</v>
      </c>
      <c r="Z17" s="14">
        <f>J28</f>
        <v>7.3</v>
      </c>
      <c r="AA17" s="283">
        <f t="shared" si="4"/>
        <v>5</v>
      </c>
      <c r="AB17" s="69">
        <f>Table351213142449[[#This Row],[Floor]]+Table351213142449[[#This Row],[Vault]]</f>
        <v>14.45</v>
      </c>
      <c r="AC17" s="283">
        <f t="shared" si="1"/>
        <v>16</v>
      </c>
    </row>
    <row r="18" spans="1:29">
      <c r="A18" s="265" t="s">
        <v>1</v>
      </c>
      <c r="B18" s="265" t="s">
        <v>2</v>
      </c>
      <c r="C18" s="265" t="s">
        <v>3</v>
      </c>
      <c r="D18" s="265" t="s">
        <v>4</v>
      </c>
      <c r="E18" s="265" t="s">
        <v>5</v>
      </c>
      <c r="F18" s="264"/>
      <c r="G18" s="265" t="s">
        <v>1</v>
      </c>
      <c r="H18" s="265" t="s">
        <v>2</v>
      </c>
      <c r="I18" s="265" t="s">
        <v>3</v>
      </c>
      <c r="J18" s="265" t="s">
        <v>4</v>
      </c>
      <c r="K18" s="265" t="s">
        <v>5</v>
      </c>
      <c r="M18" s="152"/>
      <c r="N18" s="45" t="s">
        <v>565</v>
      </c>
      <c r="O18" s="47">
        <f>E14</f>
        <v>63.75</v>
      </c>
      <c r="P18" s="40">
        <f>SUMPRODUCT((O$18:O$20&gt;O18)/COUNTIF(O$18:O$20,O$18:O$20&amp;""))+1</f>
        <v>2</v>
      </c>
      <c r="Q18" s="73"/>
      <c r="U18" s="33" t="s">
        <v>87</v>
      </c>
      <c r="V18" s="149">
        <v>7</v>
      </c>
      <c r="W18" s="240" t="s">
        <v>1144</v>
      </c>
      <c r="X18" s="13">
        <f>I8</f>
        <v>8.75</v>
      </c>
      <c r="Y18" s="283">
        <f t="shared" si="0"/>
        <v>9</v>
      </c>
      <c r="Z18" s="13">
        <f>J8</f>
        <v>7.1</v>
      </c>
      <c r="AA18" s="283">
        <f t="shared" si="4"/>
        <v>7</v>
      </c>
      <c r="AB18" s="69">
        <f>Table351213142449[[#This Row],[Floor]]+Table351213142449[[#This Row],[Vault]]</f>
        <v>15.85</v>
      </c>
      <c r="AC18" s="283">
        <f t="shared" si="1"/>
        <v>7</v>
      </c>
    </row>
    <row r="19" spans="1:29">
      <c r="A19" s="149">
        <v>19</v>
      </c>
      <c r="B19" s="100" t="s">
        <v>687</v>
      </c>
      <c r="C19" s="13">
        <v>6.35</v>
      </c>
      <c r="D19" s="13">
        <v>8</v>
      </c>
      <c r="E19" s="13">
        <f t="shared" ref="E19" si="8">SUM(C19,D19)</f>
        <v>14.35</v>
      </c>
      <c r="F19" s="264"/>
      <c r="G19" s="149">
        <v>21</v>
      </c>
      <c r="H19" s="100" t="s">
        <v>945</v>
      </c>
      <c r="I19" s="13">
        <v>7.65</v>
      </c>
      <c r="J19" s="13">
        <v>6.6</v>
      </c>
      <c r="K19" s="13">
        <f t="shared" ref="K19:K20" si="9">SUM(I19,J19)</f>
        <v>14.25</v>
      </c>
      <c r="N19" s="45" t="s">
        <v>1143</v>
      </c>
      <c r="O19" s="47">
        <f>K14</f>
        <v>61.2</v>
      </c>
      <c r="P19" s="40">
        <f t="shared" ref="P19:P20" si="10">SUMPRODUCT((O$18:O$20&gt;O19)/COUNTIF(O$18:O$20,O$18:O$20&amp;""))+1</f>
        <v>3</v>
      </c>
      <c r="U19" s="33" t="s">
        <v>87</v>
      </c>
      <c r="V19" s="149">
        <v>8</v>
      </c>
      <c r="W19" s="240" t="s">
        <v>1145</v>
      </c>
      <c r="X19" s="13">
        <f t="shared" ref="X19:X21" si="11">I9</f>
        <v>8.9499999999999993</v>
      </c>
      <c r="Y19" s="283">
        <f t="shared" si="0"/>
        <v>5</v>
      </c>
      <c r="Z19" s="13">
        <f t="shared" ref="Z19" si="12">J9</f>
        <v>6.6</v>
      </c>
      <c r="AA19" s="283">
        <f t="shared" si="4"/>
        <v>10</v>
      </c>
      <c r="AB19" s="69">
        <f>Table351213142449[[#This Row],[Floor]]+Table351213142449[[#This Row],[Vault]]</f>
        <v>15.549999999999999</v>
      </c>
      <c r="AC19" s="283">
        <f t="shared" si="1"/>
        <v>9</v>
      </c>
    </row>
    <row r="20" spans="1:29">
      <c r="A20" s="264"/>
      <c r="B20" s="264"/>
      <c r="C20" s="264"/>
      <c r="D20" s="264"/>
      <c r="E20" s="264"/>
      <c r="F20" s="264"/>
      <c r="G20" s="149">
        <v>22</v>
      </c>
      <c r="H20" s="100" t="s">
        <v>946</v>
      </c>
      <c r="I20" s="13">
        <v>8.8000000000000007</v>
      </c>
      <c r="J20" s="13">
        <v>7.3</v>
      </c>
      <c r="K20" s="13">
        <f t="shared" si="9"/>
        <v>16.100000000000001</v>
      </c>
      <c r="N20" s="45" t="s">
        <v>220</v>
      </c>
      <c r="O20" s="46">
        <f>Q14</f>
        <v>64.150000000000006</v>
      </c>
      <c r="P20" s="40">
        <f t="shared" si="10"/>
        <v>1</v>
      </c>
      <c r="U20" s="33" t="s">
        <v>87</v>
      </c>
      <c r="V20" s="149">
        <v>9</v>
      </c>
      <c r="W20" s="240" t="s">
        <v>1146</v>
      </c>
      <c r="X20" s="13">
        <f>I10</f>
        <v>8.5500000000000007</v>
      </c>
      <c r="Y20" s="283">
        <f t="shared" si="0"/>
        <v>11</v>
      </c>
      <c r="Z20" s="13">
        <f>J10</f>
        <v>6.2</v>
      </c>
      <c r="AA20" s="283">
        <f t="shared" si="4"/>
        <v>13</v>
      </c>
      <c r="AB20" s="69">
        <f>Table351213142449[[#This Row],[Floor]]+Table351213142449[[#This Row],[Vault]]</f>
        <v>14.75</v>
      </c>
      <c r="AC20" s="283">
        <f t="shared" si="1"/>
        <v>14</v>
      </c>
    </row>
    <row r="21" spans="1:29">
      <c r="A21" s="270" t="s">
        <v>1295</v>
      </c>
      <c r="B21" s="271"/>
      <c r="C21" s="271"/>
      <c r="D21" s="271"/>
      <c r="E21" s="272"/>
      <c r="F21" s="264"/>
      <c r="G21" s="260"/>
      <c r="H21" s="273"/>
      <c r="I21" s="273"/>
      <c r="J21" s="273"/>
      <c r="K21" s="273"/>
      <c r="U21" s="33" t="s">
        <v>87</v>
      </c>
      <c r="V21" s="149">
        <v>10</v>
      </c>
      <c r="W21" s="240" t="s">
        <v>475</v>
      </c>
      <c r="X21" s="13">
        <f t="shared" si="11"/>
        <v>8.75</v>
      </c>
      <c r="Y21" s="283">
        <f t="shared" si="0"/>
        <v>9</v>
      </c>
      <c r="Z21" s="13">
        <f>J11</f>
        <v>6.3</v>
      </c>
      <c r="AA21" s="283">
        <f t="shared" si="4"/>
        <v>12</v>
      </c>
      <c r="AB21" s="69">
        <f>Table351213142449[[#This Row],[Floor]]+Table351213142449[[#This Row],[Vault]]</f>
        <v>15.05</v>
      </c>
      <c r="AC21" s="283">
        <f t="shared" si="1"/>
        <v>13</v>
      </c>
    </row>
    <row r="22" spans="1:29">
      <c r="A22" s="265" t="s">
        <v>1</v>
      </c>
      <c r="B22" s="265" t="s">
        <v>2</v>
      </c>
      <c r="C22" s="265" t="s">
        <v>3</v>
      </c>
      <c r="D22" s="265" t="s">
        <v>4</v>
      </c>
      <c r="E22" s="265" t="s">
        <v>5</v>
      </c>
      <c r="F22" s="264"/>
      <c r="G22" s="270" t="s">
        <v>1297</v>
      </c>
      <c r="H22" s="271"/>
      <c r="I22" s="271"/>
      <c r="J22" s="271"/>
      <c r="K22" s="272"/>
      <c r="U22" s="33" t="s">
        <v>1227</v>
      </c>
      <c r="V22" s="149">
        <v>13</v>
      </c>
      <c r="W22" s="240" t="s">
        <v>1236</v>
      </c>
      <c r="X22" s="14">
        <f>O8</f>
        <v>8.85</v>
      </c>
      <c r="Y22" s="283">
        <f t="shared" si="0"/>
        <v>7</v>
      </c>
      <c r="Z22" s="14">
        <f>P8</f>
        <v>7.6</v>
      </c>
      <c r="AA22" s="283">
        <f t="shared" si="4"/>
        <v>3</v>
      </c>
      <c r="AB22" s="69">
        <f>Table351213142449[[#This Row],[Floor]]+Table351213142449[[#This Row],[Vault]]</f>
        <v>16.45</v>
      </c>
      <c r="AC22" s="283">
        <f t="shared" si="1"/>
        <v>3</v>
      </c>
    </row>
    <row r="23" spans="1:29">
      <c r="A23" s="149">
        <v>1259</v>
      </c>
      <c r="B23" s="100" t="s">
        <v>1296</v>
      </c>
      <c r="C23" s="13">
        <v>9</v>
      </c>
      <c r="D23" s="13">
        <v>7</v>
      </c>
      <c r="E23" s="13">
        <f t="shared" ref="E23" si="13">SUM(C23,D23)</f>
        <v>16</v>
      </c>
      <c r="F23" s="264"/>
      <c r="G23" s="265" t="s">
        <v>1</v>
      </c>
      <c r="H23" s="265" t="s">
        <v>2</v>
      </c>
      <c r="I23" s="265" t="s">
        <v>3</v>
      </c>
      <c r="J23" s="265" t="s">
        <v>4</v>
      </c>
      <c r="K23" s="265" t="s">
        <v>5</v>
      </c>
      <c r="U23" s="33" t="s">
        <v>1227</v>
      </c>
      <c r="V23" s="149">
        <v>14</v>
      </c>
      <c r="W23" s="240" t="s">
        <v>1239</v>
      </c>
      <c r="X23" s="14">
        <f t="shared" ref="X23:X25" si="14">O9</f>
        <v>8.25</v>
      </c>
      <c r="Y23" s="283">
        <f t="shared" si="0"/>
        <v>13</v>
      </c>
      <c r="Z23" s="14">
        <f t="shared" ref="Z23" si="15">P9</f>
        <v>7</v>
      </c>
      <c r="AA23" s="283">
        <f t="shared" si="4"/>
        <v>8</v>
      </c>
      <c r="AB23" s="69">
        <f>Table351213142449[[#This Row],[Floor]]+Table351213142449[[#This Row],[Vault]]</f>
        <v>15.25</v>
      </c>
      <c r="AC23" s="283">
        <f t="shared" si="1"/>
        <v>12</v>
      </c>
    </row>
    <row r="24" spans="1:29">
      <c r="A24" s="152"/>
      <c r="B24" s="110"/>
      <c r="C24" s="73"/>
      <c r="D24" s="73"/>
      <c r="E24" s="73"/>
      <c r="F24" s="264"/>
      <c r="G24" s="149">
        <v>20</v>
      </c>
      <c r="H24" s="93" t="s">
        <v>925</v>
      </c>
      <c r="I24" s="13">
        <v>8.4499999999999993</v>
      </c>
      <c r="J24" s="13">
        <v>6.9</v>
      </c>
      <c r="K24" s="13">
        <f>SUM(I24,J24)</f>
        <v>15.35</v>
      </c>
      <c r="U24" s="33" t="s">
        <v>1227</v>
      </c>
      <c r="V24" s="149">
        <v>15</v>
      </c>
      <c r="W24" s="240" t="s">
        <v>1237</v>
      </c>
      <c r="X24" s="14">
        <f t="shared" si="14"/>
        <v>8.9</v>
      </c>
      <c r="Y24" s="283">
        <f t="shared" si="0"/>
        <v>6</v>
      </c>
      <c r="Z24" s="14">
        <f>P10</f>
        <v>7.6</v>
      </c>
      <c r="AA24" s="283">
        <f t="shared" si="4"/>
        <v>3</v>
      </c>
      <c r="AB24" s="69">
        <f>Table351213142449[[#This Row],[Floor]]+Table351213142449[[#This Row],[Vault]]</f>
        <v>16.5</v>
      </c>
      <c r="AC24" s="283">
        <f t="shared" si="1"/>
        <v>2</v>
      </c>
    </row>
    <row r="25" spans="1:29">
      <c r="F25" s="264"/>
      <c r="U25" s="33" t="s">
        <v>1227</v>
      </c>
      <c r="V25" s="149">
        <v>16</v>
      </c>
      <c r="W25" s="240" t="s">
        <v>1238</v>
      </c>
      <c r="X25" s="14">
        <f t="shared" si="14"/>
        <v>8.65</v>
      </c>
      <c r="Y25" s="283">
        <f t="shared" si="0"/>
        <v>10</v>
      </c>
      <c r="Z25" s="14">
        <f>P11</f>
        <v>7.3</v>
      </c>
      <c r="AA25" s="283">
        <f t="shared" si="4"/>
        <v>5</v>
      </c>
      <c r="AB25" s="69">
        <f>Table351213142449[[#This Row],[Floor]]+Table351213142449[[#This Row],[Vault]]</f>
        <v>15.95</v>
      </c>
      <c r="AC25" s="283">
        <f t="shared" si="1"/>
        <v>6</v>
      </c>
    </row>
    <row r="26" spans="1:29">
      <c r="A26" s="276" t="s">
        <v>1318</v>
      </c>
      <c r="B26" s="271"/>
      <c r="C26" s="271"/>
      <c r="D26" s="271"/>
      <c r="E26" s="272"/>
      <c r="G26" s="276" t="s">
        <v>1298</v>
      </c>
      <c r="H26" s="271"/>
      <c r="I26" s="271"/>
      <c r="J26" s="271"/>
      <c r="K26" s="272"/>
      <c r="U26" s="261" t="s">
        <v>706</v>
      </c>
      <c r="V26" s="149">
        <v>1259</v>
      </c>
      <c r="W26" s="238" t="s">
        <v>1296</v>
      </c>
      <c r="X26" s="14">
        <f>C23</f>
        <v>9</v>
      </c>
      <c r="Y26" s="283">
        <f t="shared" si="0"/>
        <v>4</v>
      </c>
      <c r="Z26" s="14">
        <f>D23</f>
        <v>7</v>
      </c>
      <c r="AA26" s="283">
        <f t="shared" si="4"/>
        <v>8</v>
      </c>
      <c r="AB26" s="69">
        <f>Table351213142449[[#This Row],[Floor]]+Table351213142449[[#This Row],[Vault]]</f>
        <v>16</v>
      </c>
      <c r="AC26" s="283">
        <f t="shared" si="1"/>
        <v>5</v>
      </c>
    </row>
    <row r="27" spans="1:29">
      <c r="A27" s="265" t="s">
        <v>1</v>
      </c>
      <c r="B27" s="265" t="s">
        <v>2</v>
      </c>
      <c r="C27" s="265" t="s">
        <v>3</v>
      </c>
      <c r="D27" s="265" t="s">
        <v>4</v>
      </c>
      <c r="E27" s="265" t="s">
        <v>5</v>
      </c>
      <c r="G27" s="265" t="s">
        <v>1</v>
      </c>
      <c r="H27" s="265" t="s">
        <v>2</v>
      </c>
      <c r="I27" s="265" t="s">
        <v>3</v>
      </c>
      <c r="J27" s="265" t="s">
        <v>4</v>
      </c>
      <c r="K27" s="265" t="s">
        <v>5</v>
      </c>
      <c r="U27" s="261" t="s">
        <v>854</v>
      </c>
      <c r="V27" s="149">
        <v>1260</v>
      </c>
      <c r="W27" s="240" t="s">
        <v>1335</v>
      </c>
      <c r="X27" s="14">
        <f>C28</f>
        <v>8.0500000000000007</v>
      </c>
      <c r="Y27" s="283">
        <f t="shared" si="0"/>
        <v>17</v>
      </c>
      <c r="Z27" s="14">
        <f>D28</f>
        <v>7.2</v>
      </c>
      <c r="AA27" s="283">
        <f t="shared" si="4"/>
        <v>6</v>
      </c>
      <c r="AB27" s="69">
        <f>Table351213142449[[#This Row],[Floor]]+Table351213142449[[#This Row],[Vault]]</f>
        <v>15.25</v>
      </c>
      <c r="AC27" s="283">
        <f t="shared" si="1"/>
        <v>12</v>
      </c>
    </row>
    <row r="28" spans="1:29">
      <c r="A28" s="149">
        <v>1260</v>
      </c>
      <c r="B28" s="93" t="s">
        <v>1335</v>
      </c>
      <c r="C28" s="13">
        <v>8.0500000000000007</v>
      </c>
      <c r="D28" s="13">
        <v>7.2</v>
      </c>
      <c r="E28" s="13">
        <f>SUM(C28,D28)</f>
        <v>15.25</v>
      </c>
      <c r="G28" s="149">
        <v>23</v>
      </c>
      <c r="H28" s="93" t="s">
        <v>1013</v>
      </c>
      <c r="I28" s="13">
        <v>7.15</v>
      </c>
      <c r="J28" s="13">
        <v>7.3</v>
      </c>
      <c r="K28" s="13">
        <f>SUM(I28,J28)</f>
        <v>14.45</v>
      </c>
      <c r="U28" s="287" t="s">
        <v>135</v>
      </c>
      <c r="V28" s="288">
        <v>135</v>
      </c>
      <c r="W28" s="289" t="s">
        <v>669</v>
      </c>
      <c r="X28" s="295">
        <f>'BEG 9&amp;U MX'!D8</f>
        <v>8.1999999999999993</v>
      </c>
      <c r="Y28" s="283">
        <f t="shared" si="0"/>
        <v>14</v>
      </c>
      <c r="Z28" s="295">
        <f>'BEG 9&amp;U MX'!E8</f>
        <v>5.8</v>
      </c>
      <c r="AA28" s="283">
        <f t="shared" si="4"/>
        <v>15</v>
      </c>
      <c r="AB28" s="299">
        <f>Table351213142449[[#This Row],[Floor]]+Table351213142449[[#This Row],[Vault]]</f>
        <v>14</v>
      </c>
      <c r="AC28" s="283">
        <f t="shared" si="1"/>
        <v>20</v>
      </c>
    </row>
    <row r="29" spans="1:29">
      <c r="U29" s="290" t="s">
        <v>135</v>
      </c>
      <c r="V29" s="291">
        <v>136</v>
      </c>
      <c r="W29" s="292" t="s">
        <v>670</v>
      </c>
      <c r="X29" s="296">
        <f>'BEG 9&amp;U MX'!D9</f>
        <v>8</v>
      </c>
      <c r="Y29" s="283">
        <f t="shared" si="0"/>
        <v>18</v>
      </c>
      <c r="Z29" s="296">
        <f>'BEG 9&amp;U MX'!E9</f>
        <v>5.9</v>
      </c>
      <c r="AA29" s="283">
        <f t="shared" si="4"/>
        <v>14</v>
      </c>
      <c r="AB29" s="300">
        <f>Table351213142449[[#This Row],[Floor]]+Table351213142449[[#This Row],[Vault]]</f>
        <v>13.9</v>
      </c>
      <c r="AC29" s="283">
        <f t="shared" si="1"/>
        <v>21</v>
      </c>
    </row>
    <row r="30" spans="1:29">
      <c r="U30" s="287" t="s">
        <v>1352</v>
      </c>
      <c r="V30" s="293">
        <v>141</v>
      </c>
      <c r="W30" s="289" t="s">
        <v>900</v>
      </c>
      <c r="X30" s="295">
        <f>'BEG 9&amp;U MX'!O8</f>
        <v>8.1</v>
      </c>
      <c r="Y30" s="283">
        <f t="shared" si="0"/>
        <v>16</v>
      </c>
      <c r="Z30" s="295">
        <f>'BEG 9&amp;U MX'!P8</f>
        <v>7.4</v>
      </c>
      <c r="AA30" s="283">
        <f t="shared" si="4"/>
        <v>4</v>
      </c>
      <c r="AB30" s="299">
        <f>Table351213142449[[#This Row],[Floor]]+Table351213142449[[#This Row],[Vault]]</f>
        <v>15.5</v>
      </c>
      <c r="AC30" s="283">
        <f t="shared" si="1"/>
        <v>10</v>
      </c>
    </row>
    <row r="31" spans="1:29">
      <c r="U31" s="290" t="s">
        <v>1352</v>
      </c>
      <c r="V31" s="294">
        <v>142</v>
      </c>
      <c r="W31" s="292" t="s">
        <v>901</v>
      </c>
      <c r="X31" s="296">
        <f>'BEG 9&amp;U MX'!O9</f>
        <v>8.15</v>
      </c>
      <c r="Y31" s="283">
        <f t="shared" si="0"/>
        <v>15</v>
      </c>
      <c r="Z31" s="296">
        <f>'BEG 9&amp;U MX'!P9</f>
        <v>6.4</v>
      </c>
      <c r="AA31" s="283">
        <f t="shared" si="4"/>
        <v>11</v>
      </c>
      <c r="AB31" s="300">
        <f>Table351213142449[[#This Row],[Floor]]+Table351213142449[[#This Row],[Vault]]</f>
        <v>14.55</v>
      </c>
      <c r="AC31" s="283">
        <f t="shared" si="1"/>
        <v>15</v>
      </c>
    </row>
  </sheetData>
  <mergeCells count="3">
    <mergeCell ref="A1:AC1"/>
    <mergeCell ref="A2:AC2"/>
    <mergeCell ref="G4:I4"/>
  </mergeCells>
  <phoneticPr fontId="21" type="noConversion"/>
  <conditionalFormatting sqref="P18:P20">
    <cfRule type="cellIs" dxfId="1101" priority="19" operator="equal">
      <formula>3</formula>
    </cfRule>
    <cfRule type="cellIs" dxfId="1100" priority="20" operator="equal">
      <formula>2</formula>
    </cfRule>
    <cfRule type="cellIs" dxfId="1099" priority="21" operator="equal">
      <formula>1</formula>
    </cfRule>
  </conditionalFormatting>
  <conditionalFormatting sqref="AA7:AA31">
    <cfRule type="cellIs" dxfId="1098" priority="7" operator="equal">
      <formula>3</formula>
    </cfRule>
    <cfRule type="cellIs" dxfId="1097" priority="8" operator="equal">
      <formula>2</formula>
    </cfRule>
    <cfRule type="cellIs" dxfId="1096" priority="9" operator="equal">
      <formula>1</formula>
    </cfRule>
  </conditionalFormatting>
  <conditionalFormatting sqref="AC7:AC31">
    <cfRule type="cellIs" dxfId="1095" priority="4" operator="equal">
      <formula>3</formula>
    </cfRule>
    <cfRule type="cellIs" dxfId="1094" priority="5" operator="equal">
      <formula>2</formula>
    </cfRule>
    <cfRule type="cellIs" dxfId="1093" priority="6" operator="equal">
      <formula>1</formula>
    </cfRule>
  </conditionalFormatting>
  <conditionalFormatting sqref="Y7:Y31">
    <cfRule type="cellIs" dxfId="1092" priority="1" operator="equal">
      <formula>3</formula>
    </cfRule>
    <cfRule type="cellIs" dxfId="1091" priority="2" operator="equal">
      <formula>2</formula>
    </cfRule>
    <cfRule type="cellIs" dxfId="1090" priority="3" operator="equal">
      <formula>1</formula>
    </cfRule>
  </conditionalFormatting>
  <pageMargins left="0.25" right="0.25" top="0.75" bottom="0.75" header="0.3" footer="0.3"/>
  <pageSetup paperSize="9" scale="43" orientation="landscape" horizontalDpi="4294967292" verticalDpi="4294967292" r:id="rId1"/>
  <rowBreaks count="1" manualBreakCount="1">
    <brk id="63" max="16383" man="1"/>
  </rowBreaks>
  <colBreaks count="1" manualBreakCount="1">
    <brk id="29" max="1048575" man="1"/>
  </colBreaks>
  <ignoredErrors>
    <ignoredError sqref="Z7:Z31" formula="1"/>
  </ignoredErrors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J63"/>
  <sheetViews>
    <sheetView topLeftCell="B1" zoomScale="90" zoomScaleNormal="90" zoomScalePageLayoutView="90" workbookViewId="0">
      <selection activeCell="A4" sqref="A4"/>
    </sheetView>
  </sheetViews>
  <sheetFormatPr defaultColWidth="8.875" defaultRowHeight="15.75"/>
  <cols>
    <col min="1" max="1" width="4.875" customWidth="1"/>
    <col min="2" max="2" width="19.125" bestFit="1" customWidth="1"/>
    <col min="3" max="4" width="7.5" bestFit="1" customWidth="1"/>
    <col min="5" max="5" width="7.375" bestFit="1" customWidth="1"/>
    <col min="6" max="6" width="0.5" customWidth="1"/>
    <col min="7" max="7" width="5.12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5" customWidth="1"/>
    <col min="22" max="22" width="6.125" customWidth="1"/>
    <col min="23" max="23" width="20.875" bestFit="1" customWidth="1"/>
    <col min="24" max="24" width="6.375" customWidth="1"/>
    <col min="25" max="25" width="5" style="53" customWidth="1"/>
    <col min="26" max="26" width="9.375" customWidth="1"/>
    <col min="27" max="27" width="4.5" style="57" customWidth="1"/>
    <col min="28" max="28" width="8.125" style="39" customWidth="1"/>
    <col min="29" max="29" width="5.5" style="60" customWidth="1"/>
  </cols>
  <sheetData>
    <row r="1" spans="1:6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"/>
      <c r="BJ2" s="2"/>
    </row>
    <row r="3" spans="1:62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">
      <c r="A4" s="8"/>
      <c r="E4" s="1"/>
      <c r="F4" s="1"/>
      <c r="G4" s="464" t="s">
        <v>115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6" spans="1:62" s="8" customFormat="1">
      <c r="A6" s="285" t="s">
        <v>578</v>
      </c>
      <c r="B6" s="135"/>
      <c r="C6" s="135"/>
      <c r="D6" s="135"/>
      <c r="E6" s="136"/>
      <c r="F6" s="136"/>
      <c r="G6" s="285" t="s">
        <v>1086</v>
      </c>
      <c r="H6" s="71"/>
      <c r="I6" s="71"/>
      <c r="J6" s="71"/>
      <c r="K6" s="72"/>
      <c r="M6" s="285" t="s">
        <v>1087</v>
      </c>
      <c r="N6" s="220"/>
      <c r="O6" s="220"/>
      <c r="P6" s="220"/>
      <c r="Q6" s="221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62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406" t="s">
        <v>583</v>
      </c>
      <c r="V7" s="396">
        <v>376</v>
      </c>
      <c r="W7" s="410" t="s">
        <v>579</v>
      </c>
      <c r="X7" s="401">
        <f>C8</f>
        <v>0</v>
      </c>
      <c r="Y7" s="402">
        <f>SUMPRODUCT((X$7:X$27&gt;X7)/COUNTIF(X$7:X$27,X$7:X$27&amp;""))+1</f>
        <v>8.9999999999999964</v>
      </c>
      <c r="Z7" s="401">
        <f>D8</f>
        <v>0</v>
      </c>
      <c r="AA7" s="402">
        <f>SUMPRODUCT((Z$7:Z$27&gt;Z7)/COUNTIF(Z$7:Z$27,Z$7:Z$27&amp;""))+1</f>
        <v>11</v>
      </c>
      <c r="AB7" s="403">
        <f>Table35155057[[#This Row],[Floor4]]+Table35155057[[#This Row],[Vault6]]</f>
        <v>0</v>
      </c>
      <c r="AC7" s="402">
        <f>SUMPRODUCT((AB$7:AB$27&gt;AB7)/COUNTIF(AB$7:AB$27,AB$7:AB$27&amp;""))+1</f>
        <v>15</v>
      </c>
    </row>
    <row r="8" spans="1:62">
      <c r="A8" s="396">
        <v>376</v>
      </c>
      <c r="B8" s="410" t="s">
        <v>579</v>
      </c>
      <c r="C8" s="398">
        <v>0</v>
      </c>
      <c r="D8" s="398">
        <v>0</v>
      </c>
      <c r="E8" s="398">
        <f>SUM(C8,D8)</f>
        <v>0</v>
      </c>
      <c r="G8" s="149">
        <v>382</v>
      </c>
      <c r="H8" s="95" t="s">
        <v>1088</v>
      </c>
      <c r="I8" s="13">
        <v>5</v>
      </c>
      <c r="J8" s="13">
        <v>7.6</v>
      </c>
      <c r="K8" s="13">
        <f>SUM(I8,J8)</f>
        <v>12.6</v>
      </c>
      <c r="M8" s="149">
        <v>388</v>
      </c>
      <c r="N8" s="95" t="s">
        <v>1092</v>
      </c>
      <c r="O8" s="13">
        <v>5</v>
      </c>
      <c r="P8" s="13">
        <v>7.6</v>
      </c>
      <c r="Q8" s="13">
        <f>SUM(O8,P8)</f>
        <v>12.6</v>
      </c>
      <c r="U8" s="16" t="s">
        <v>583</v>
      </c>
      <c r="V8" s="149">
        <v>377</v>
      </c>
      <c r="W8" s="95" t="s">
        <v>226</v>
      </c>
      <c r="X8" s="14">
        <f t="shared" ref="X8" si="0">C9</f>
        <v>8.6</v>
      </c>
      <c r="Y8" s="283">
        <f t="shared" ref="Y8:Y27" si="1">SUMPRODUCT((X$7:X$27&gt;X8)/COUNTIF(X$7:X$27,X$7:X$27&amp;""))+1</f>
        <v>4</v>
      </c>
      <c r="Z8" s="14">
        <f>D9</f>
        <v>7.65</v>
      </c>
      <c r="AA8" s="283">
        <f t="shared" ref="AA8:AA27" si="2">SUMPRODUCT((Z$7:Z$27&gt;Z8)/COUNTIF(Z$7:Z$27,Z$7:Z$27&amp;""))+1</f>
        <v>3</v>
      </c>
      <c r="AB8" s="69">
        <f>Table35155057[[#This Row],[Floor4]]+Table35155057[[#This Row],[Vault6]]</f>
        <v>16.25</v>
      </c>
      <c r="AC8" s="283">
        <f t="shared" ref="AC8:AC27" si="3">SUMPRODUCT((AB$7:AB$27&gt;AB8)/COUNTIF(AB$7:AB$27,AB$7:AB$27&amp;""))+1</f>
        <v>4</v>
      </c>
    </row>
    <row r="9" spans="1:62">
      <c r="A9" s="149">
        <v>377</v>
      </c>
      <c r="B9" s="95" t="s">
        <v>226</v>
      </c>
      <c r="C9" s="13">
        <v>8.6</v>
      </c>
      <c r="D9" s="13">
        <v>7.65</v>
      </c>
      <c r="E9" s="13">
        <f t="shared" ref="E9:E13" si="4">SUM(C9,D9)</f>
        <v>16.25</v>
      </c>
      <c r="G9" s="149">
        <v>383</v>
      </c>
      <c r="H9" s="95" t="s">
        <v>1089</v>
      </c>
      <c r="I9" s="13">
        <v>5</v>
      </c>
      <c r="J9" s="13">
        <v>7.3</v>
      </c>
      <c r="K9" s="13">
        <f t="shared" ref="K9:K13" si="5">SUM(I9,J9)</f>
        <v>12.3</v>
      </c>
      <c r="M9" s="149">
        <v>389</v>
      </c>
      <c r="N9" s="95" t="s">
        <v>460</v>
      </c>
      <c r="O9" s="13">
        <v>5</v>
      </c>
      <c r="P9" s="13">
        <v>7.65</v>
      </c>
      <c r="Q9" s="13">
        <f t="shared" ref="Q9:Q13" si="6">SUM(O9,P9)</f>
        <v>12.65</v>
      </c>
      <c r="U9" s="16" t="s">
        <v>583</v>
      </c>
      <c r="V9" s="149">
        <v>378</v>
      </c>
      <c r="W9" s="95" t="s">
        <v>580</v>
      </c>
      <c r="X9" s="14">
        <f>C10</f>
        <v>8.8000000000000007</v>
      </c>
      <c r="Y9" s="283">
        <f t="shared" si="1"/>
        <v>2</v>
      </c>
      <c r="Z9" s="14">
        <f>D10</f>
        <v>7.6</v>
      </c>
      <c r="AA9" s="283">
        <f t="shared" si="2"/>
        <v>4</v>
      </c>
      <c r="AB9" s="69">
        <f>Table35155057[[#This Row],[Floor4]]+Table35155057[[#This Row],[Vault6]]</f>
        <v>16.399999999999999</v>
      </c>
      <c r="AC9" s="283">
        <f t="shared" si="3"/>
        <v>3</v>
      </c>
    </row>
    <row r="10" spans="1:62">
      <c r="A10" s="149">
        <v>378</v>
      </c>
      <c r="B10" s="95" t="s">
        <v>580</v>
      </c>
      <c r="C10" s="13">
        <v>8.8000000000000007</v>
      </c>
      <c r="D10" s="13">
        <v>7.6</v>
      </c>
      <c r="E10" s="13">
        <f t="shared" si="4"/>
        <v>16.399999999999999</v>
      </c>
      <c r="G10" s="149">
        <v>384</v>
      </c>
      <c r="H10" s="95" t="s">
        <v>1090</v>
      </c>
      <c r="I10" s="13">
        <v>5</v>
      </c>
      <c r="J10" s="13">
        <v>7.65</v>
      </c>
      <c r="K10" s="13">
        <f t="shared" si="5"/>
        <v>12.65</v>
      </c>
      <c r="M10" s="149">
        <v>390</v>
      </c>
      <c r="N10" s="95" t="s">
        <v>457</v>
      </c>
      <c r="O10" s="13">
        <v>5</v>
      </c>
      <c r="P10" s="13">
        <v>7.4</v>
      </c>
      <c r="Q10" s="13">
        <f t="shared" si="6"/>
        <v>12.4</v>
      </c>
      <c r="U10" s="406" t="s">
        <v>583</v>
      </c>
      <c r="V10" s="396">
        <v>379</v>
      </c>
      <c r="W10" s="410" t="s">
        <v>228</v>
      </c>
      <c r="X10" s="401">
        <f>C11</f>
        <v>0</v>
      </c>
      <c r="Y10" s="402">
        <f t="shared" si="1"/>
        <v>8.9999999999999964</v>
      </c>
      <c r="Z10" s="401">
        <f t="shared" ref="Z10" si="7">D11</f>
        <v>0</v>
      </c>
      <c r="AA10" s="402">
        <f t="shared" si="2"/>
        <v>11</v>
      </c>
      <c r="AB10" s="403">
        <f>Table35155057[[#This Row],[Floor4]]+Table35155057[[#This Row],[Vault6]]</f>
        <v>0</v>
      </c>
      <c r="AC10" s="402">
        <f t="shared" si="3"/>
        <v>15</v>
      </c>
    </row>
    <row r="11" spans="1:62">
      <c r="A11" s="396">
        <v>379</v>
      </c>
      <c r="B11" s="410" t="s">
        <v>228</v>
      </c>
      <c r="C11" s="398">
        <v>0</v>
      </c>
      <c r="D11" s="398">
        <v>0</v>
      </c>
      <c r="E11" s="398">
        <f t="shared" si="4"/>
        <v>0</v>
      </c>
      <c r="G11" s="149">
        <v>385</v>
      </c>
      <c r="H11" s="95" t="s">
        <v>1091</v>
      </c>
      <c r="I11" s="13">
        <v>5</v>
      </c>
      <c r="J11" s="13">
        <v>7.5</v>
      </c>
      <c r="K11" s="13">
        <f t="shared" si="5"/>
        <v>12.5</v>
      </c>
      <c r="M11" s="149">
        <v>391</v>
      </c>
      <c r="N11" s="95" t="s">
        <v>1093</v>
      </c>
      <c r="O11" s="13">
        <v>5</v>
      </c>
      <c r="P11" s="13">
        <v>7.3</v>
      </c>
      <c r="Q11" s="13">
        <f t="shared" si="6"/>
        <v>12.3</v>
      </c>
      <c r="U11" s="16" t="s">
        <v>583</v>
      </c>
      <c r="V11" s="149">
        <v>380</v>
      </c>
      <c r="W11" s="93" t="s">
        <v>581</v>
      </c>
      <c r="X11" s="14">
        <f>C12</f>
        <v>8.1999999999999993</v>
      </c>
      <c r="Y11" s="283">
        <f t="shared" si="1"/>
        <v>5</v>
      </c>
      <c r="Z11" s="14">
        <f>D12</f>
        <v>7.55</v>
      </c>
      <c r="AA11" s="283">
        <f t="shared" si="2"/>
        <v>5</v>
      </c>
      <c r="AB11" s="69">
        <f>Table35155057[[#This Row],[Floor4]]+Table35155057[[#This Row],[Vault6]]</f>
        <v>15.75</v>
      </c>
      <c r="AC11" s="283">
        <f t="shared" si="3"/>
        <v>5</v>
      </c>
    </row>
    <row r="12" spans="1:62">
      <c r="A12" s="149">
        <v>380</v>
      </c>
      <c r="B12" s="93" t="s">
        <v>581</v>
      </c>
      <c r="C12" s="13">
        <v>8.1999999999999993</v>
      </c>
      <c r="D12" s="13">
        <v>7.55</v>
      </c>
      <c r="E12" s="13">
        <f t="shared" si="4"/>
        <v>15.75</v>
      </c>
      <c r="G12" s="149">
        <v>386</v>
      </c>
      <c r="H12" s="100" t="s">
        <v>1349</v>
      </c>
      <c r="I12" s="13">
        <v>5</v>
      </c>
      <c r="J12" s="13">
        <v>7.55</v>
      </c>
      <c r="K12" s="13">
        <f t="shared" si="5"/>
        <v>12.55</v>
      </c>
      <c r="M12" s="149">
        <v>392</v>
      </c>
      <c r="N12" s="108" t="s">
        <v>1083</v>
      </c>
      <c r="O12" s="13">
        <v>5</v>
      </c>
      <c r="P12" s="13">
        <v>7.55</v>
      </c>
      <c r="Q12" s="13">
        <f t="shared" si="6"/>
        <v>12.55</v>
      </c>
      <c r="U12" s="16" t="s">
        <v>583</v>
      </c>
      <c r="V12" s="149">
        <v>381</v>
      </c>
      <c r="W12" s="93" t="s">
        <v>582</v>
      </c>
      <c r="X12" s="14">
        <f>C13</f>
        <v>8</v>
      </c>
      <c r="Y12" s="283">
        <f t="shared" si="1"/>
        <v>6</v>
      </c>
      <c r="Z12" s="14">
        <f>D13</f>
        <v>7.5</v>
      </c>
      <c r="AA12" s="283">
        <f t="shared" si="2"/>
        <v>5.9999999999999991</v>
      </c>
      <c r="AB12" s="69">
        <f>Table35155057[[#This Row],[Floor4]]+Table35155057[[#This Row],[Vault6]]</f>
        <v>15.5</v>
      </c>
      <c r="AC12" s="283">
        <f t="shared" si="3"/>
        <v>6</v>
      </c>
    </row>
    <row r="13" spans="1:62" ht="16.5" thickBot="1">
      <c r="A13" s="149">
        <v>381</v>
      </c>
      <c r="B13" s="93" t="s">
        <v>582</v>
      </c>
      <c r="C13" s="13">
        <v>8</v>
      </c>
      <c r="D13" s="13">
        <v>7.5</v>
      </c>
      <c r="E13" s="13">
        <f t="shared" si="4"/>
        <v>15.5</v>
      </c>
      <c r="F13" s="8"/>
      <c r="G13" s="149">
        <v>387</v>
      </c>
      <c r="H13" s="97"/>
      <c r="I13" s="13">
        <v>0</v>
      </c>
      <c r="J13" s="13">
        <v>0</v>
      </c>
      <c r="K13" s="13">
        <f t="shared" si="5"/>
        <v>0</v>
      </c>
      <c r="L13" s="8"/>
      <c r="M13" s="149">
        <v>393</v>
      </c>
      <c r="N13" s="97"/>
      <c r="O13" s="13">
        <v>0</v>
      </c>
      <c r="P13" s="13">
        <v>0</v>
      </c>
      <c r="Q13" s="13">
        <f t="shared" si="6"/>
        <v>0</v>
      </c>
      <c r="U13" s="16" t="s">
        <v>234</v>
      </c>
      <c r="V13" s="151">
        <v>394</v>
      </c>
      <c r="W13" s="99" t="s">
        <v>241</v>
      </c>
      <c r="X13" s="14">
        <f>C19</f>
        <v>7.9</v>
      </c>
      <c r="Y13" s="283">
        <f t="shared" si="1"/>
        <v>7</v>
      </c>
      <c r="Z13" s="14">
        <f>D19</f>
        <v>6.5</v>
      </c>
      <c r="AA13" s="283">
        <f t="shared" si="2"/>
        <v>9</v>
      </c>
      <c r="AB13" s="69">
        <f>Table35155057[[#This Row],[Floor4]]+Table35155057[[#This Row],[Vault6]]</f>
        <v>14.4</v>
      </c>
      <c r="AC13" s="283">
        <f t="shared" si="3"/>
        <v>8</v>
      </c>
    </row>
    <row r="14" spans="1:62" ht="16.5" thickBot="1">
      <c r="B14" s="25" t="s">
        <v>10</v>
      </c>
      <c r="C14" s="19">
        <f>SUM(C8:C13)-SMALL(C8:C13,1)-SMALL(C8:C13,2)</f>
        <v>33.599999999999994</v>
      </c>
      <c r="D14" s="19">
        <f>SUM(D8:D13)-SMALL(D8:D13,1)-SMALL(D8:D13,2)</f>
        <v>30.3</v>
      </c>
      <c r="E14" s="20">
        <f>SUM(C14:D14)</f>
        <v>63.899999999999991</v>
      </c>
      <c r="F14" s="8"/>
      <c r="H14" s="25" t="s">
        <v>10</v>
      </c>
      <c r="I14" s="19">
        <f>SUM(I8:I13)-SMALL(I8:I13,1)-SMALL(I8:I13,2)</f>
        <v>20</v>
      </c>
      <c r="J14" s="19">
        <f>SUM(J8:J13)-SMALL(J8:J13,1)-SMALL(J8:J13,2)</f>
        <v>30.299999999999994</v>
      </c>
      <c r="K14" s="20">
        <f>SUM(I14:J14)</f>
        <v>50.3</v>
      </c>
      <c r="L14" s="8"/>
      <c r="N14" s="25" t="s">
        <v>10</v>
      </c>
      <c r="O14" s="19">
        <f>SUM(O8:O13)-SMALL(O8:O13,1)-SMALL(O8:O13,2)</f>
        <v>20</v>
      </c>
      <c r="P14" s="19">
        <f>SUM(P8:P13)-SMALL(P8:P13,1)-SMALL(P8:P13,2)</f>
        <v>30.2</v>
      </c>
      <c r="Q14" s="20">
        <f>SUM(O14:P14)</f>
        <v>50.2</v>
      </c>
      <c r="U14" s="16" t="s">
        <v>234</v>
      </c>
      <c r="V14" s="151">
        <v>395</v>
      </c>
      <c r="W14" s="108" t="s">
        <v>240</v>
      </c>
      <c r="X14" s="14">
        <f>C20</f>
        <v>8.1999999999999993</v>
      </c>
      <c r="Y14" s="283">
        <f t="shared" si="1"/>
        <v>5</v>
      </c>
      <c r="Z14" s="14">
        <f>D20</f>
        <v>6.3</v>
      </c>
      <c r="AA14" s="283">
        <f t="shared" si="2"/>
        <v>10</v>
      </c>
      <c r="AB14" s="69">
        <f>Table35155057[[#This Row],[Floor4]]+Table35155057[[#This Row],[Vault6]]</f>
        <v>14.5</v>
      </c>
      <c r="AC14" s="283">
        <f t="shared" si="3"/>
        <v>7</v>
      </c>
    </row>
    <row r="15" spans="1:62">
      <c r="B15" s="94" t="s">
        <v>37</v>
      </c>
      <c r="D15" s="25"/>
      <c r="E15" s="26"/>
      <c r="H15" s="94" t="s">
        <v>37</v>
      </c>
      <c r="J15" s="25"/>
      <c r="K15" s="26"/>
      <c r="N15" s="94" t="s">
        <v>37</v>
      </c>
      <c r="P15" s="25"/>
      <c r="Q15" s="26"/>
      <c r="U15" s="406" t="s">
        <v>799</v>
      </c>
      <c r="V15" s="396">
        <v>396</v>
      </c>
      <c r="W15" s="436" t="s">
        <v>332</v>
      </c>
      <c r="X15" s="401">
        <f>I19</f>
        <v>0</v>
      </c>
      <c r="Y15" s="402">
        <f t="shared" si="1"/>
        <v>8.9999999999999964</v>
      </c>
      <c r="Z15" s="401">
        <f>J19</f>
        <v>0</v>
      </c>
      <c r="AA15" s="402">
        <f t="shared" si="2"/>
        <v>11</v>
      </c>
      <c r="AB15" s="403">
        <f>Table35155057[[#This Row],[Floor4]]+Table35155057[[#This Row],[Vault6]]</f>
        <v>0</v>
      </c>
      <c r="AC15" s="402">
        <f t="shared" si="3"/>
        <v>15</v>
      </c>
    </row>
    <row r="16" spans="1:62">
      <c r="M16" s="1"/>
      <c r="Q16" s="1"/>
      <c r="U16" s="16" t="s">
        <v>799</v>
      </c>
      <c r="V16" s="149">
        <v>397</v>
      </c>
      <c r="W16" s="93" t="s">
        <v>808</v>
      </c>
      <c r="X16" s="14">
        <f>I20</f>
        <v>8.75</v>
      </c>
      <c r="Y16" s="283">
        <f t="shared" si="1"/>
        <v>3</v>
      </c>
      <c r="Z16" s="14">
        <f>J20</f>
        <v>8</v>
      </c>
      <c r="AA16" s="283">
        <f t="shared" si="2"/>
        <v>2</v>
      </c>
      <c r="AB16" s="69">
        <f>Table35155057[[#This Row],[Floor4]]+Table35155057[[#This Row],[Vault6]]</f>
        <v>16.75</v>
      </c>
      <c r="AC16" s="283">
        <f t="shared" si="3"/>
        <v>2</v>
      </c>
    </row>
    <row r="17" spans="1:29">
      <c r="A17" s="285" t="s">
        <v>1366</v>
      </c>
      <c r="B17" s="173"/>
      <c r="C17" s="173"/>
      <c r="D17" s="173"/>
      <c r="E17" s="174"/>
      <c r="F17" s="106"/>
      <c r="G17" s="285" t="s">
        <v>1321</v>
      </c>
      <c r="H17" s="220"/>
      <c r="I17" s="220"/>
      <c r="J17" s="220"/>
      <c r="K17" s="221"/>
      <c r="L17" s="8"/>
      <c r="M17" s="137"/>
      <c r="N17" s="189"/>
      <c r="O17" s="73"/>
      <c r="P17" s="210"/>
      <c r="Q17" s="137"/>
      <c r="U17" s="16" t="s">
        <v>917</v>
      </c>
      <c r="V17" s="149">
        <v>398</v>
      </c>
      <c r="W17" s="93" t="s">
        <v>924</v>
      </c>
      <c r="X17" s="14">
        <f>C24</f>
        <v>9</v>
      </c>
      <c r="Y17" s="283">
        <f t="shared" si="1"/>
        <v>1</v>
      </c>
      <c r="Z17" s="14">
        <f>D24</f>
        <v>8.1999999999999993</v>
      </c>
      <c r="AA17" s="283">
        <f t="shared" si="2"/>
        <v>1</v>
      </c>
      <c r="AB17" s="69">
        <f>Table35155057[[#This Row],[Floor4]]+Table35155057[[#This Row],[Vault6]]</f>
        <v>17.2</v>
      </c>
      <c r="AC17" s="283">
        <f t="shared" si="3"/>
        <v>1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1"/>
      <c r="G18" s="9" t="s">
        <v>1</v>
      </c>
      <c r="H18" s="9" t="s">
        <v>2</v>
      </c>
      <c r="I18" s="9" t="s">
        <v>3</v>
      </c>
      <c r="J18" s="9" t="s">
        <v>4</v>
      </c>
      <c r="K18" s="9" t="s">
        <v>5</v>
      </c>
      <c r="M18" s="111"/>
      <c r="N18" s="39" t="s">
        <v>12</v>
      </c>
      <c r="O18" s="43" t="s">
        <v>5</v>
      </c>
      <c r="P18" s="44" t="s">
        <v>11</v>
      </c>
      <c r="Q18" s="111"/>
      <c r="U18" s="16" t="s">
        <v>454</v>
      </c>
      <c r="V18" s="149">
        <v>382</v>
      </c>
      <c r="W18" s="101" t="s">
        <v>1088</v>
      </c>
      <c r="X18" s="14">
        <f>I8</f>
        <v>5</v>
      </c>
      <c r="Y18" s="283">
        <f t="shared" si="1"/>
        <v>8</v>
      </c>
      <c r="Z18" s="14">
        <f>J8</f>
        <v>7.6</v>
      </c>
      <c r="AA18" s="283">
        <f t="shared" si="2"/>
        <v>4</v>
      </c>
      <c r="AB18" s="69">
        <f>Table35155057[[#This Row],[Floor4]]+Table35155057[[#This Row],[Vault6]]</f>
        <v>12.6</v>
      </c>
      <c r="AC18" s="283">
        <f t="shared" si="3"/>
        <v>10</v>
      </c>
    </row>
    <row r="19" spans="1:29">
      <c r="A19" s="151">
        <v>394</v>
      </c>
      <c r="B19" s="99" t="s">
        <v>241</v>
      </c>
      <c r="C19" s="14">
        <v>7.9</v>
      </c>
      <c r="D19" s="14">
        <v>6.5</v>
      </c>
      <c r="E19" s="14">
        <f>SUM(C19,D19)</f>
        <v>14.4</v>
      </c>
      <c r="F19" s="1"/>
      <c r="G19" s="396">
        <v>396</v>
      </c>
      <c r="H19" s="436" t="s">
        <v>332</v>
      </c>
      <c r="I19" s="398">
        <v>0</v>
      </c>
      <c r="J19" s="398">
        <v>0</v>
      </c>
      <c r="K19" s="398">
        <f>SUM(I19,J19)</f>
        <v>0</v>
      </c>
      <c r="M19" s="102"/>
      <c r="N19" s="45" t="s">
        <v>1271</v>
      </c>
      <c r="O19" s="47">
        <f>E14</f>
        <v>63.899999999999991</v>
      </c>
      <c r="P19" s="40">
        <f>SUMPRODUCT((O$19:O$21&gt;O19)/COUNTIF(O$19:O$21,O$19:O$21&amp;""))+1</f>
        <v>1</v>
      </c>
      <c r="Q19" s="73"/>
      <c r="U19" s="16" t="s">
        <v>454</v>
      </c>
      <c r="V19" s="149">
        <v>383</v>
      </c>
      <c r="W19" s="101" t="s">
        <v>1089</v>
      </c>
      <c r="X19" s="14">
        <f t="shared" ref="X19:X20" si="8">I9</f>
        <v>5</v>
      </c>
      <c r="Y19" s="283">
        <f t="shared" si="1"/>
        <v>8</v>
      </c>
      <c r="Z19" s="14">
        <f t="shared" ref="Z19" si="9">J9</f>
        <v>7.3</v>
      </c>
      <c r="AA19" s="283">
        <f t="shared" si="2"/>
        <v>7.9999999999999991</v>
      </c>
      <c r="AB19" s="69">
        <f>Table35155057[[#This Row],[Floor4]]+Table35155057[[#This Row],[Vault6]]</f>
        <v>12.3</v>
      </c>
      <c r="AC19" s="283">
        <f t="shared" si="3"/>
        <v>14</v>
      </c>
    </row>
    <row r="20" spans="1:29">
      <c r="A20" s="151">
        <v>395</v>
      </c>
      <c r="B20" s="99" t="s">
        <v>240</v>
      </c>
      <c r="C20" s="14">
        <v>8.1999999999999993</v>
      </c>
      <c r="D20" s="14">
        <v>6.3</v>
      </c>
      <c r="E20" s="14">
        <f>SUM(C20,D20)</f>
        <v>14.5</v>
      </c>
      <c r="F20" s="1"/>
      <c r="G20" s="149">
        <v>397</v>
      </c>
      <c r="H20" s="93" t="s">
        <v>808</v>
      </c>
      <c r="I20" s="13">
        <v>8.75</v>
      </c>
      <c r="J20" s="13">
        <v>8</v>
      </c>
      <c r="K20" s="13">
        <f>SUM(I20,J20)</f>
        <v>16.75</v>
      </c>
      <c r="M20" s="102"/>
      <c r="N20" s="45" t="s">
        <v>1272</v>
      </c>
      <c r="O20" s="47">
        <f>K14</f>
        <v>50.3</v>
      </c>
      <c r="P20" s="40">
        <f t="shared" ref="P20:P21" si="10">SUMPRODUCT((O$19:O$21&gt;O20)/COUNTIF(O$19:O$21,O$19:O$21&amp;""))+1</f>
        <v>2</v>
      </c>
      <c r="Q20" s="73"/>
      <c r="U20" s="16" t="s">
        <v>454</v>
      </c>
      <c r="V20" s="149">
        <v>384</v>
      </c>
      <c r="W20" s="101" t="s">
        <v>1090</v>
      </c>
      <c r="X20" s="14">
        <f t="shared" si="8"/>
        <v>5</v>
      </c>
      <c r="Y20" s="283">
        <f t="shared" si="1"/>
        <v>8</v>
      </c>
      <c r="Z20" s="14">
        <f>J10</f>
        <v>7.65</v>
      </c>
      <c r="AA20" s="283">
        <f t="shared" si="2"/>
        <v>3</v>
      </c>
      <c r="AB20" s="69">
        <f>Table35155057[[#This Row],[Floor4]]+Table35155057[[#This Row],[Vault6]]</f>
        <v>12.65</v>
      </c>
      <c r="AC20" s="283">
        <f t="shared" si="3"/>
        <v>9</v>
      </c>
    </row>
    <row r="21" spans="1:29">
      <c r="A21" s="152"/>
      <c r="B21" s="110"/>
      <c r="C21" s="73"/>
      <c r="D21" s="73"/>
      <c r="E21" s="68"/>
      <c r="F21" s="1"/>
      <c r="G21" s="102"/>
      <c r="H21" s="110"/>
      <c r="I21" s="73"/>
      <c r="J21" s="73"/>
      <c r="K21" s="73"/>
      <c r="M21" s="102"/>
      <c r="N21" s="7" t="s">
        <v>1273</v>
      </c>
      <c r="O21" s="46">
        <f>Q14</f>
        <v>50.2</v>
      </c>
      <c r="P21" s="40">
        <f t="shared" si="10"/>
        <v>3</v>
      </c>
      <c r="Q21" s="73"/>
      <c r="U21" s="16" t="s">
        <v>454</v>
      </c>
      <c r="V21" s="149">
        <v>385</v>
      </c>
      <c r="W21" s="109" t="s">
        <v>1091</v>
      </c>
      <c r="X21" s="14">
        <f>I11</f>
        <v>5</v>
      </c>
      <c r="Y21" s="283">
        <f t="shared" si="1"/>
        <v>8</v>
      </c>
      <c r="Z21" s="14">
        <f>J11</f>
        <v>7.5</v>
      </c>
      <c r="AA21" s="283">
        <f t="shared" si="2"/>
        <v>5.9999999999999991</v>
      </c>
      <c r="AB21" s="69">
        <f>Table35155057[[#This Row],[Floor4]]+Table35155057[[#This Row],[Vault6]]</f>
        <v>12.5</v>
      </c>
      <c r="AC21" s="283">
        <f t="shared" si="3"/>
        <v>12</v>
      </c>
    </row>
    <row r="22" spans="1:29">
      <c r="A22" s="285" t="s">
        <v>1297</v>
      </c>
      <c r="B22" s="220"/>
      <c r="C22" s="220"/>
      <c r="D22" s="220"/>
      <c r="E22" s="221"/>
      <c r="F22" s="1"/>
      <c r="M22" s="102"/>
      <c r="Q22" s="73"/>
      <c r="U22" s="16" t="s">
        <v>454</v>
      </c>
      <c r="V22" s="149">
        <v>388</v>
      </c>
      <c r="W22" s="101" t="s">
        <v>1092</v>
      </c>
      <c r="X22" s="14">
        <f>O8</f>
        <v>5</v>
      </c>
      <c r="Y22" s="283">
        <f t="shared" si="1"/>
        <v>8</v>
      </c>
      <c r="Z22" s="14">
        <f>P8</f>
        <v>7.6</v>
      </c>
      <c r="AA22" s="283">
        <f t="shared" si="2"/>
        <v>4</v>
      </c>
      <c r="AB22" s="69">
        <f>Table35155057[[#This Row],[Floor4]]+Table35155057[[#This Row],[Vault6]]</f>
        <v>12.6</v>
      </c>
      <c r="AC22" s="283">
        <f t="shared" si="3"/>
        <v>10</v>
      </c>
    </row>
    <row r="23" spans="1:29">
      <c r="A23" s="9" t="s">
        <v>1</v>
      </c>
      <c r="B23" s="9" t="s">
        <v>2</v>
      </c>
      <c r="C23" s="9" t="s">
        <v>3</v>
      </c>
      <c r="D23" s="9" t="s">
        <v>4</v>
      </c>
      <c r="E23" s="9" t="s">
        <v>5</v>
      </c>
      <c r="F23" s="1"/>
      <c r="M23" s="102"/>
      <c r="Q23" s="73"/>
      <c r="U23" s="16" t="s">
        <v>454</v>
      </c>
      <c r="V23" s="149">
        <v>389</v>
      </c>
      <c r="W23" s="101" t="s">
        <v>460</v>
      </c>
      <c r="X23" s="14">
        <f t="shared" ref="X23" si="11">O9</f>
        <v>5</v>
      </c>
      <c r="Y23" s="283">
        <f t="shared" si="1"/>
        <v>8</v>
      </c>
      <c r="Z23" s="14">
        <f t="shared" ref="Z23:Z26" si="12">P9</f>
        <v>7.65</v>
      </c>
      <c r="AA23" s="283">
        <f t="shared" si="2"/>
        <v>3</v>
      </c>
      <c r="AB23" s="69">
        <f>Table35155057[[#This Row],[Floor4]]+Table35155057[[#This Row],[Vault6]]</f>
        <v>12.65</v>
      </c>
      <c r="AC23" s="283">
        <f t="shared" si="3"/>
        <v>9</v>
      </c>
    </row>
    <row r="24" spans="1:29">
      <c r="A24" s="149">
        <v>398</v>
      </c>
      <c r="B24" s="93" t="s">
        <v>924</v>
      </c>
      <c r="C24" s="13">
        <v>9</v>
      </c>
      <c r="D24" s="13">
        <v>8.1999999999999993</v>
      </c>
      <c r="E24" s="13">
        <f>SUM(C24,D24)</f>
        <v>17.2</v>
      </c>
      <c r="F24" s="106"/>
      <c r="L24" s="8"/>
      <c r="M24" s="102"/>
      <c r="Q24" s="68"/>
      <c r="U24" s="16" t="s">
        <v>454</v>
      </c>
      <c r="V24" s="149">
        <v>390</v>
      </c>
      <c r="W24" s="101" t="s">
        <v>457</v>
      </c>
      <c r="X24" s="14">
        <f>O10</f>
        <v>5</v>
      </c>
      <c r="Y24" s="283">
        <f t="shared" si="1"/>
        <v>8</v>
      </c>
      <c r="Z24" s="14">
        <f>P10</f>
        <v>7.4</v>
      </c>
      <c r="AA24" s="283">
        <f t="shared" si="2"/>
        <v>6.9999999999999991</v>
      </c>
      <c r="AB24" s="69">
        <f>Table35155057[[#This Row],[Floor4]]+Table35155057[[#This Row],[Vault6]]</f>
        <v>12.4</v>
      </c>
      <c r="AC24" s="283">
        <f t="shared" si="3"/>
        <v>13</v>
      </c>
    </row>
    <row r="25" spans="1:29">
      <c r="A25" s="1"/>
      <c r="B25" s="104"/>
      <c r="C25" s="64"/>
      <c r="D25" s="64"/>
      <c r="E25" s="105"/>
      <c r="F25" s="106"/>
      <c r="L25" s="8"/>
      <c r="M25" s="1"/>
      <c r="Q25" s="105"/>
      <c r="U25" s="16" t="s">
        <v>454</v>
      </c>
      <c r="V25" s="149">
        <v>391</v>
      </c>
      <c r="W25" s="109" t="s">
        <v>1093</v>
      </c>
      <c r="X25" s="14">
        <f>O11</f>
        <v>5</v>
      </c>
      <c r="Y25" s="283">
        <f t="shared" si="1"/>
        <v>8</v>
      </c>
      <c r="Z25" s="14">
        <f>P11</f>
        <v>7.3</v>
      </c>
      <c r="AA25" s="283">
        <f t="shared" si="2"/>
        <v>7.9999999999999991</v>
      </c>
      <c r="AB25" s="69">
        <f>Table35155057[[#This Row],[Floor4]]+Table35155057[[#This Row],[Vault6]]</f>
        <v>12.3</v>
      </c>
      <c r="AC25" s="283">
        <f t="shared" si="3"/>
        <v>14</v>
      </c>
    </row>
    <row r="26" spans="1:29">
      <c r="U26" s="120" t="s">
        <v>454</v>
      </c>
      <c r="V26" s="149">
        <v>392</v>
      </c>
      <c r="W26" s="262" t="s">
        <v>1083</v>
      </c>
      <c r="X26" s="14">
        <f>O12</f>
        <v>5</v>
      </c>
      <c r="Y26" s="283">
        <f t="shared" si="1"/>
        <v>8</v>
      </c>
      <c r="Z26" s="14">
        <f t="shared" si="12"/>
        <v>7.55</v>
      </c>
      <c r="AA26" s="283">
        <f t="shared" si="2"/>
        <v>5</v>
      </c>
      <c r="AB26" s="69">
        <f>Table35155057[[#This Row],[Floor4]]+Table35155057[[#This Row],[Vault6]]</f>
        <v>12.55</v>
      </c>
      <c r="AC26" s="283">
        <f t="shared" si="3"/>
        <v>11</v>
      </c>
    </row>
    <row r="27" spans="1:29">
      <c r="F27" s="106"/>
      <c r="G27" s="1"/>
      <c r="H27" s="1"/>
      <c r="I27" s="1"/>
      <c r="J27" s="1"/>
      <c r="K27" s="1"/>
      <c r="L27" s="106"/>
      <c r="M27" s="86"/>
      <c r="Q27" s="86"/>
      <c r="U27" s="120" t="s">
        <v>454</v>
      </c>
      <c r="V27" s="149">
        <v>386</v>
      </c>
      <c r="W27" s="262" t="s">
        <v>1350</v>
      </c>
      <c r="X27" s="14">
        <f>I12</f>
        <v>5</v>
      </c>
      <c r="Y27" s="283">
        <f t="shared" si="1"/>
        <v>8</v>
      </c>
      <c r="Z27" s="14">
        <f>J12</f>
        <v>7.55</v>
      </c>
      <c r="AA27" s="283">
        <f t="shared" si="2"/>
        <v>5</v>
      </c>
      <c r="AB27" s="69">
        <f>Table35155057[[#This Row],[Floor4]]+Table35155057[[#This Row],[Vault6]]</f>
        <v>12.55</v>
      </c>
      <c r="AC27" s="283">
        <f t="shared" si="3"/>
        <v>11</v>
      </c>
    </row>
    <row r="28" spans="1:29">
      <c r="F28" s="1"/>
      <c r="G28" s="1"/>
      <c r="H28" s="1"/>
      <c r="I28" s="1"/>
      <c r="J28" s="1"/>
      <c r="K28" s="1"/>
      <c r="L28" s="1"/>
      <c r="M28" s="111"/>
      <c r="Q28" s="111"/>
    </row>
    <row r="29" spans="1:29">
      <c r="F29" s="1"/>
      <c r="G29" s="1"/>
      <c r="H29" s="1"/>
      <c r="I29" s="1"/>
      <c r="J29" s="1"/>
      <c r="K29" s="1"/>
      <c r="L29" s="1"/>
      <c r="M29" s="102"/>
      <c r="Q29" s="73"/>
    </row>
    <row r="30" spans="1:29">
      <c r="F30" s="1"/>
      <c r="G30" s="102"/>
      <c r="H30" s="110"/>
      <c r="I30" s="73"/>
      <c r="J30" s="73"/>
      <c r="K30" s="73"/>
      <c r="L30" s="1"/>
      <c r="M30" s="102"/>
      <c r="Q30" s="73"/>
    </row>
    <row r="31" spans="1:29">
      <c r="F31" s="1"/>
      <c r="G31" s="102"/>
      <c r="H31" s="103"/>
      <c r="I31" s="73"/>
      <c r="J31" s="73"/>
      <c r="K31" s="73"/>
      <c r="L31" s="1"/>
      <c r="M31" s="102"/>
      <c r="Q31" s="73"/>
    </row>
    <row r="32" spans="1:29">
      <c r="F32" s="1"/>
      <c r="G32" s="1"/>
      <c r="H32" s="1"/>
      <c r="I32" s="1"/>
      <c r="J32" s="1"/>
      <c r="K32" s="1"/>
      <c r="L32" s="1"/>
      <c r="M32" s="102"/>
      <c r="Q32" s="73"/>
    </row>
    <row r="33" spans="1:17">
      <c r="F33" s="1"/>
      <c r="G33" s="1"/>
      <c r="H33" s="1"/>
      <c r="I33" s="1"/>
      <c r="J33" s="1"/>
      <c r="K33" s="1"/>
      <c r="L33" s="1"/>
      <c r="M33" s="102"/>
      <c r="Q33" s="73"/>
    </row>
    <row r="34" spans="1:17">
      <c r="F34" s="106"/>
      <c r="G34" s="1"/>
      <c r="H34" s="1"/>
      <c r="I34" s="1"/>
      <c r="J34" s="1"/>
      <c r="K34" s="1"/>
      <c r="L34" s="106"/>
      <c r="M34" s="102"/>
      <c r="Q34" s="68"/>
    </row>
    <row r="35" spans="1:17">
      <c r="A35" s="1"/>
      <c r="B35" s="104"/>
      <c r="C35" s="64"/>
      <c r="D35" s="64"/>
      <c r="E35" s="105"/>
      <c r="F35" s="106"/>
      <c r="G35" s="1"/>
      <c r="H35" s="104"/>
      <c r="I35" s="64"/>
      <c r="J35" s="64"/>
      <c r="K35" s="105"/>
      <c r="L35" s="106"/>
      <c r="M35" s="1"/>
      <c r="Q35" s="105"/>
    </row>
    <row r="36" spans="1:17">
      <c r="G36" s="1"/>
      <c r="H36" s="1"/>
      <c r="I36" s="1"/>
      <c r="J36" s="1"/>
      <c r="K36" s="1"/>
      <c r="Q36" s="26"/>
    </row>
    <row r="37" spans="1:17">
      <c r="F37" s="81"/>
      <c r="G37" s="1"/>
      <c r="H37" s="1"/>
      <c r="I37" s="1"/>
      <c r="J37" s="1"/>
      <c r="K37" s="1"/>
      <c r="L37" s="81"/>
    </row>
    <row r="38" spans="1:17">
      <c r="F38" s="81"/>
      <c r="G38" s="1"/>
      <c r="H38" s="1"/>
      <c r="I38" s="1"/>
      <c r="J38" s="1"/>
      <c r="K38" s="1"/>
      <c r="L38" s="86"/>
    </row>
    <row r="39" spans="1:17">
      <c r="F39" s="81"/>
      <c r="G39" s="74"/>
      <c r="H39" s="110"/>
      <c r="I39" s="73"/>
      <c r="J39" s="73"/>
      <c r="K39" s="73"/>
      <c r="L39" s="81"/>
    </row>
    <row r="40" spans="1:17">
      <c r="F40" s="81"/>
      <c r="G40" s="102"/>
      <c r="H40" s="110"/>
      <c r="I40" s="73"/>
      <c r="J40" s="73"/>
      <c r="K40" s="73"/>
      <c r="L40" s="81"/>
    </row>
    <row r="41" spans="1:17">
      <c r="A41" s="78"/>
      <c r="B41" s="87"/>
      <c r="C41" s="79"/>
      <c r="D41" s="79"/>
      <c r="E41" s="79"/>
      <c r="F41" s="81"/>
      <c r="G41" s="80"/>
      <c r="H41" s="87"/>
      <c r="I41" s="68"/>
      <c r="J41" s="68"/>
      <c r="K41" s="68"/>
      <c r="L41" s="81"/>
    </row>
    <row r="42" spans="1:17">
      <c r="A42" s="78"/>
      <c r="B42" s="87"/>
      <c r="C42" s="79"/>
      <c r="D42" s="79"/>
      <c r="E42" s="79"/>
      <c r="F42" s="81"/>
      <c r="G42" s="81"/>
      <c r="H42" s="81"/>
      <c r="I42" s="81"/>
      <c r="J42" s="81"/>
      <c r="K42" s="81"/>
      <c r="L42" s="81"/>
    </row>
    <row r="43" spans="1:17">
      <c r="A43" s="78"/>
      <c r="B43" s="87"/>
      <c r="C43" s="79"/>
      <c r="D43" s="79"/>
      <c r="E43" s="79"/>
      <c r="F43" s="81"/>
      <c r="G43" s="86"/>
      <c r="H43" s="86"/>
      <c r="I43" s="86"/>
      <c r="J43" s="86"/>
      <c r="K43" s="86"/>
      <c r="L43" s="86"/>
    </row>
    <row r="44" spans="1:17">
      <c r="A44" s="78"/>
      <c r="B44" s="87"/>
      <c r="C44" s="79"/>
      <c r="D44" s="79"/>
      <c r="E44" s="79"/>
      <c r="F44" s="81"/>
      <c r="G44" s="77"/>
      <c r="H44" s="77"/>
      <c r="I44" s="77"/>
      <c r="J44" s="77"/>
      <c r="K44" s="77"/>
      <c r="L44" s="81"/>
      <c r="N44" s="65"/>
      <c r="O44" s="66"/>
      <c r="P44" s="67"/>
    </row>
    <row r="45" spans="1:17">
      <c r="A45" s="78"/>
      <c r="B45" s="87"/>
      <c r="C45" s="79"/>
      <c r="D45" s="79"/>
      <c r="E45" s="79"/>
      <c r="F45" s="81"/>
      <c r="G45" s="80"/>
      <c r="H45" s="87"/>
      <c r="I45" s="68"/>
      <c r="J45" s="68"/>
      <c r="K45" s="68"/>
      <c r="L45" s="81"/>
    </row>
    <row r="46" spans="1:17">
      <c r="A46" s="88"/>
      <c r="B46" s="82"/>
      <c r="C46" s="79"/>
      <c r="D46" s="79"/>
      <c r="E46" s="83"/>
      <c r="F46" s="81"/>
      <c r="G46" s="80"/>
      <c r="H46" s="87"/>
      <c r="I46" s="68"/>
      <c r="J46" s="68"/>
      <c r="K46" s="68"/>
      <c r="L46" s="81"/>
    </row>
    <row r="47" spans="1:17">
      <c r="A47" s="81"/>
      <c r="B47" s="89"/>
      <c r="C47" s="81"/>
      <c r="D47" s="84"/>
      <c r="E47" s="85"/>
      <c r="F47" s="81"/>
      <c r="G47" s="81"/>
      <c r="H47" s="81"/>
      <c r="I47" s="81"/>
      <c r="J47" s="81"/>
      <c r="K47" s="81"/>
      <c r="L47" s="81"/>
    </row>
    <row r="48" spans="1:17">
      <c r="A48" s="75"/>
      <c r="B48" s="75"/>
      <c r="C48" s="75"/>
      <c r="D48" s="75"/>
      <c r="E48" s="75"/>
      <c r="F48" s="81"/>
      <c r="G48" s="86"/>
      <c r="H48" s="86"/>
      <c r="I48" s="86"/>
      <c r="J48" s="86"/>
      <c r="K48" s="86"/>
      <c r="L48" s="86"/>
    </row>
    <row r="49" spans="1:12">
      <c r="A49" s="76"/>
      <c r="B49" s="76"/>
      <c r="C49" s="76"/>
      <c r="D49" s="76"/>
      <c r="E49" s="76"/>
      <c r="F49" s="81"/>
      <c r="G49" s="77"/>
      <c r="H49" s="77"/>
      <c r="I49" s="77"/>
      <c r="J49" s="77"/>
      <c r="K49" s="77"/>
      <c r="L49" s="81"/>
    </row>
    <row r="50" spans="1:12">
      <c r="A50" s="78"/>
      <c r="B50" s="87"/>
      <c r="C50" s="79"/>
      <c r="D50" s="79"/>
      <c r="E50" s="79"/>
      <c r="F50" s="81"/>
      <c r="G50" s="80"/>
      <c r="H50" s="87"/>
      <c r="I50" s="68"/>
      <c r="J50" s="68"/>
      <c r="K50" s="68"/>
      <c r="L50" s="81"/>
    </row>
    <row r="51" spans="1:12">
      <c r="A51" s="78"/>
      <c r="B51" s="87"/>
      <c r="C51" s="79"/>
      <c r="D51" s="79"/>
      <c r="E51" s="79"/>
      <c r="F51" s="81"/>
      <c r="G51" s="81"/>
      <c r="H51" s="81"/>
      <c r="I51" s="81"/>
      <c r="J51" s="81"/>
      <c r="K51" s="81"/>
      <c r="L51" s="81"/>
    </row>
    <row r="52" spans="1:12">
      <c r="A52" s="78"/>
      <c r="B52" s="87"/>
      <c r="C52" s="79"/>
      <c r="D52" s="79"/>
      <c r="E52" s="79"/>
      <c r="F52" s="81"/>
      <c r="G52" s="81"/>
      <c r="H52" s="81"/>
      <c r="I52" s="81"/>
      <c r="J52" s="81"/>
      <c r="K52" s="81"/>
      <c r="L52" s="81"/>
    </row>
    <row r="53" spans="1:12">
      <c r="A53" s="78"/>
      <c r="B53" s="87"/>
      <c r="C53" s="79"/>
      <c r="D53" s="79"/>
      <c r="E53" s="79"/>
      <c r="F53" s="81"/>
      <c r="G53" s="81"/>
      <c r="H53" s="81"/>
      <c r="I53" s="81"/>
      <c r="J53" s="81"/>
      <c r="K53" s="81"/>
      <c r="L53" s="81"/>
    </row>
    <row r="54" spans="1:12">
      <c r="A54" s="78"/>
      <c r="B54" s="87"/>
      <c r="C54" s="79"/>
      <c r="D54" s="79"/>
      <c r="E54" s="79"/>
      <c r="F54" s="81"/>
      <c r="G54" s="81"/>
      <c r="H54" s="81"/>
      <c r="I54" s="81"/>
      <c r="J54" s="81"/>
      <c r="K54" s="81"/>
      <c r="L54" s="81"/>
    </row>
    <row r="55" spans="1:12">
      <c r="A55" s="78"/>
      <c r="B55" s="87"/>
      <c r="C55" s="79"/>
      <c r="D55" s="79"/>
      <c r="E55" s="79"/>
      <c r="F55" s="81"/>
      <c r="G55" s="81"/>
      <c r="H55" s="81"/>
      <c r="I55" s="81"/>
      <c r="J55" s="81"/>
      <c r="K55" s="81"/>
      <c r="L55" s="81"/>
    </row>
    <row r="56" spans="1:12">
      <c r="A56" s="88"/>
      <c r="B56" s="82"/>
      <c r="C56" s="79"/>
      <c r="D56" s="79"/>
      <c r="E56" s="83"/>
      <c r="F56" s="81"/>
      <c r="G56" s="81"/>
      <c r="H56" s="81"/>
      <c r="I56" s="81"/>
      <c r="J56" s="81"/>
      <c r="K56" s="81"/>
      <c r="L56" s="81"/>
    </row>
    <row r="57" spans="1:1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1:1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1:1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1:1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1:1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</sheetData>
  <mergeCells count="3">
    <mergeCell ref="A1:AC1"/>
    <mergeCell ref="A2:AC2"/>
    <mergeCell ref="G4:I4"/>
  </mergeCells>
  <phoneticPr fontId="21" type="noConversion"/>
  <conditionalFormatting sqref="P19:P21">
    <cfRule type="cellIs" dxfId="908" priority="10" operator="equal">
      <formula>3</formula>
    </cfRule>
    <cfRule type="cellIs" dxfId="907" priority="11" operator="equal">
      <formula>2</formula>
    </cfRule>
    <cfRule type="cellIs" dxfId="906" priority="12" operator="equal">
      <formula>1</formula>
    </cfRule>
  </conditionalFormatting>
  <conditionalFormatting sqref="Y7:Y27">
    <cfRule type="cellIs" dxfId="905" priority="7" operator="equal">
      <formula>3</formula>
    </cfRule>
    <cfRule type="cellIs" dxfId="904" priority="8" operator="equal">
      <formula>2</formula>
    </cfRule>
    <cfRule type="cellIs" dxfId="903" priority="9" operator="equal">
      <formula>1</formula>
    </cfRule>
  </conditionalFormatting>
  <conditionalFormatting sqref="AA7:AA27">
    <cfRule type="cellIs" dxfId="902" priority="4" operator="equal">
      <formula>3</formula>
    </cfRule>
    <cfRule type="cellIs" dxfId="901" priority="5" operator="equal">
      <formula>2</formula>
    </cfRule>
    <cfRule type="cellIs" dxfId="900" priority="6" operator="equal">
      <formula>1</formula>
    </cfRule>
  </conditionalFormatting>
  <conditionalFormatting sqref="AC7:AC27">
    <cfRule type="cellIs" dxfId="899" priority="1" operator="equal">
      <formula>3</formula>
    </cfRule>
    <cfRule type="cellIs" dxfId="898" priority="2" operator="equal">
      <formula>2</formula>
    </cfRule>
    <cfRule type="cellIs" dxfId="897" priority="3" operator="equal">
      <formula>1</formula>
    </cfRule>
  </conditionalFormatting>
  <pageMargins left="0.75" right="0.75" top="1" bottom="1" header="0.5" footer="0.5"/>
  <pageSetup paperSize="9" scale="54" orientation="landscape" horizontalDpi="4294967292" verticalDpi="4294967292"/>
  <colBreaks count="1" manualBreakCount="1">
    <brk id="29" max="1048575" man="1"/>
  </colBreaks>
  <ignoredErrors>
    <ignoredError sqref="P19 Y7" calculatedColumn="1"/>
    <ignoredError sqref="Z7:Z27" formula="1"/>
  </ignoredErrors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BR24"/>
  <sheetViews>
    <sheetView zoomScale="90" zoomScaleNormal="90" zoomScalePageLayoutView="90" workbookViewId="0">
      <selection activeCell="N21" sqref="N21"/>
    </sheetView>
  </sheetViews>
  <sheetFormatPr defaultColWidth="8.875" defaultRowHeight="15.75"/>
  <cols>
    <col min="1" max="1" width="4.875" customWidth="1"/>
    <col min="2" max="2" width="17.5" bestFit="1" customWidth="1"/>
    <col min="3" max="4" width="7.5" bestFit="1" customWidth="1"/>
    <col min="5" max="5" width="7.375" bestFit="1" customWidth="1"/>
    <col min="6" max="6" width="0.5" customWidth="1"/>
    <col min="7" max="7" width="5" bestFit="1" customWidth="1"/>
    <col min="8" max="8" width="18.375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625" customWidth="1"/>
    <col min="22" max="22" width="5.375" style="192" customWidth="1"/>
    <col min="23" max="23" width="16.625" bestFit="1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70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0"/>
      <c r="BJ2" s="90"/>
    </row>
    <row r="3" spans="1:70" ht="28.5" customHeight="1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84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A4" s="8"/>
      <c r="B4" s="8"/>
      <c r="E4" s="1"/>
      <c r="F4" s="1"/>
      <c r="G4" s="461" t="s">
        <v>436</v>
      </c>
      <c r="H4" s="474"/>
      <c r="I4" s="474"/>
      <c r="J4" s="475"/>
      <c r="M4" s="1"/>
      <c r="N4" s="1"/>
      <c r="O4" s="1"/>
      <c r="P4" s="1"/>
      <c r="Q4" s="1"/>
      <c r="R4" s="1"/>
      <c r="S4" s="1"/>
      <c r="T4" s="1"/>
      <c r="U4" s="1"/>
      <c r="V4" s="284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>
      <c r="G5" s="1"/>
      <c r="H5" s="1"/>
      <c r="I5" s="1"/>
      <c r="J5" s="1"/>
      <c r="K5" s="1"/>
    </row>
    <row r="6" spans="1:70" s="8" customFormat="1">
      <c r="A6" s="285" t="s">
        <v>1313</v>
      </c>
      <c r="B6" s="220"/>
      <c r="C6" s="220"/>
      <c r="D6" s="220"/>
      <c r="E6" s="221"/>
      <c r="G6" s="222"/>
      <c r="H6" s="222"/>
      <c r="I6" s="222"/>
      <c r="J6" s="222"/>
      <c r="K6" s="222"/>
      <c r="L6" s="106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145" t="s">
        <v>1</v>
      </c>
      <c r="B7" s="145" t="s">
        <v>2</v>
      </c>
      <c r="C7" s="145" t="s">
        <v>3</v>
      </c>
      <c r="D7" s="145" t="s">
        <v>4</v>
      </c>
      <c r="E7" s="145" t="s">
        <v>5</v>
      </c>
      <c r="G7" s="111"/>
      <c r="H7" s="111"/>
      <c r="I7" s="111"/>
      <c r="J7" s="111"/>
      <c r="K7" s="111"/>
      <c r="L7" s="1"/>
      <c r="U7" s="33" t="s">
        <v>1049</v>
      </c>
      <c r="V7" s="314">
        <v>410</v>
      </c>
      <c r="W7" s="99" t="s">
        <v>1048</v>
      </c>
      <c r="X7" s="13">
        <f>C8</f>
        <v>9</v>
      </c>
      <c r="Y7" s="283">
        <f>SUMPRODUCT((X$7:X$7&gt;X7)/COUNTIF(X$7:X$7,X$7:X$7&amp;""))+1</f>
        <v>1</v>
      </c>
      <c r="Z7" s="13">
        <f>D8</f>
        <v>8.5</v>
      </c>
      <c r="AA7" s="283">
        <f>SUMPRODUCT((Z$7:Z$7&gt;Z7)/COUNTIF(Z$7:Z$7,Z$7:Z$7&amp;""))+1</f>
        <v>1</v>
      </c>
      <c r="AB7" s="29">
        <f>[Floor]+[Vault]</f>
        <v>17.5</v>
      </c>
      <c r="AC7" s="283">
        <f>SUMPRODUCT((AB$7:AB$7&gt;AB7)/COUNTIF(AB$7:AB$7,AB$7:AB$7&amp;""))+1</f>
        <v>1</v>
      </c>
    </row>
    <row r="8" spans="1:70">
      <c r="A8" s="151">
        <v>410</v>
      </c>
      <c r="B8" s="99" t="s">
        <v>1048</v>
      </c>
      <c r="C8" s="13">
        <v>9</v>
      </c>
      <c r="D8" s="13">
        <v>8.5</v>
      </c>
      <c r="E8" s="13">
        <f>SUM(C8,D8)</f>
        <v>17.5</v>
      </c>
      <c r="G8" s="153"/>
      <c r="H8" s="1"/>
      <c r="I8" s="73"/>
      <c r="J8" s="73"/>
      <c r="K8" s="73"/>
      <c r="L8" s="1"/>
      <c r="AA8"/>
      <c r="AB8"/>
      <c r="AC8"/>
    </row>
    <row r="9" spans="1:70">
      <c r="A9" s="152"/>
      <c r="B9" s="110"/>
      <c r="C9" s="73"/>
      <c r="D9" s="73"/>
      <c r="E9" s="73"/>
      <c r="G9" s="153"/>
      <c r="H9" s="1"/>
      <c r="I9" s="73"/>
      <c r="J9" s="73"/>
      <c r="K9" s="73"/>
      <c r="L9" s="1"/>
      <c r="AA9"/>
      <c r="AB9"/>
      <c r="AC9"/>
    </row>
    <row r="10" spans="1:70">
      <c r="A10" s="152"/>
      <c r="B10" s="110"/>
      <c r="C10" s="73"/>
      <c r="D10" s="73"/>
      <c r="E10" s="73"/>
      <c r="G10" s="222"/>
      <c r="H10" s="222"/>
      <c r="I10" s="222"/>
      <c r="J10" s="222"/>
      <c r="K10" s="222"/>
      <c r="L10" s="1"/>
      <c r="AA10"/>
      <c r="AB10"/>
      <c r="AC10"/>
    </row>
    <row r="11" spans="1:70">
      <c r="A11" s="152"/>
      <c r="B11" s="110"/>
      <c r="C11" s="73"/>
      <c r="D11" s="73"/>
      <c r="E11" s="73"/>
      <c r="G11" s="111"/>
      <c r="H11" s="111"/>
      <c r="I11" s="111"/>
      <c r="J11" s="111"/>
      <c r="K11" s="111"/>
      <c r="L11" s="1"/>
      <c r="M11" s="102"/>
      <c r="N11" s="103"/>
      <c r="O11" s="73"/>
      <c r="P11" s="73"/>
      <c r="Q11" s="73"/>
      <c r="AA11"/>
      <c r="AB11"/>
      <c r="AC11"/>
    </row>
    <row r="12" spans="1:70">
      <c r="A12" s="152"/>
      <c r="B12" s="110"/>
      <c r="C12" s="73"/>
      <c r="D12" s="73"/>
      <c r="E12" s="73"/>
      <c r="G12" s="153"/>
      <c r="H12" s="1"/>
      <c r="I12" s="73"/>
      <c r="J12" s="73"/>
      <c r="K12" s="73"/>
      <c r="L12" s="1"/>
      <c r="M12" s="102"/>
      <c r="N12" s="103"/>
      <c r="O12" s="73"/>
      <c r="P12" s="73"/>
      <c r="Q12" s="73"/>
      <c r="AA12"/>
      <c r="AB12"/>
      <c r="AC12"/>
    </row>
    <row r="13" spans="1:70">
      <c r="A13" s="152"/>
      <c r="B13" s="110"/>
      <c r="C13" s="73"/>
      <c r="D13" s="73"/>
      <c r="E13" s="73"/>
      <c r="F13" s="8"/>
      <c r="G13" s="1"/>
      <c r="H13" s="1"/>
      <c r="I13" s="1"/>
      <c r="J13" s="1"/>
      <c r="K13" s="1"/>
      <c r="L13" s="106"/>
      <c r="M13" s="102"/>
      <c r="N13" s="103"/>
      <c r="O13" s="73"/>
      <c r="P13" s="73"/>
      <c r="Q13" s="68"/>
      <c r="AA13"/>
      <c r="AB13"/>
      <c r="AC13"/>
    </row>
    <row r="14" spans="1:70">
      <c r="A14" s="1"/>
      <c r="B14" s="104"/>
      <c r="C14" s="64"/>
      <c r="D14" s="64"/>
      <c r="E14" s="105"/>
      <c r="F14" s="8"/>
      <c r="G14" s="1"/>
      <c r="H14" s="1"/>
      <c r="I14" s="1"/>
      <c r="J14" s="1"/>
      <c r="K14" s="1"/>
      <c r="L14" s="106"/>
      <c r="M14" s="1"/>
      <c r="N14" s="104"/>
      <c r="O14" s="64"/>
      <c r="P14" s="64"/>
      <c r="Q14" s="105"/>
      <c r="AA14"/>
      <c r="AB14"/>
      <c r="AC14"/>
    </row>
    <row r="15" spans="1:70">
      <c r="A15" s="1"/>
      <c r="B15" s="121"/>
      <c r="C15" s="1"/>
      <c r="D15" s="104"/>
      <c r="E15" s="115"/>
      <c r="L15" s="1"/>
      <c r="M15" s="1"/>
      <c r="N15" s="114"/>
      <c r="O15" s="1"/>
      <c r="P15" s="104"/>
      <c r="Q15" s="115"/>
    </row>
    <row r="18" spans="2:20">
      <c r="N18" s="45"/>
      <c r="O18" s="46"/>
      <c r="P18" s="40"/>
    </row>
    <row r="19" spans="2:20">
      <c r="N19" s="45"/>
      <c r="O19" s="46"/>
      <c r="P19" s="40"/>
    </row>
    <row r="20" spans="2:20">
      <c r="N20" s="45"/>
      <c r="O20" s="46"/>
      <c r="P20" s="40"/>
      <c r="Q20" s="41"/>
      <c r="R20" s="41"/>
      <c r="S20" s="41"/>
      <c r="T20" s="41"/>
    </row>
    <row r="21" spans="2:20">
      <c r="N21" s="45"/>
      <c r="O21" s="46"/>
      <c r="P21" s="40"/>
      <c r="Q21" s="41"/>
      <c r="R21" s="41"/>
      <c r="S21" s="41"/>
      <c r="T21" s="41"/>
    </row>
    <row r="22" spans="2:20">
      <c r="Q22" s="41"/>
      <c r="R22" s="41"/>
      <c r="S22" s="41"/>
      <c r="T22" s="41"/>
    </row>
    <row r="23" spans="2:20">
      <c r="B23" s="24"/>
      <c r="D23" s="25"/>
      <c r="E23" s="26"/>
      <c r="Q23" s="41"/>
      <c r="R23" s="41"/>
      <c r="S23" s="41"/>
      <c r="T23" s="41"/>
    </row>
    <row r="24" spans="2:20">
      <c r="Q24" s="41"/>
      <c r="R24" s="41"/>
      <c r="S24" s="41"/>
      <c r="T24" s="41"/>
    </row>
  </sheetData>
  <mergeCells count="3">
    <mergeCell ref="A1:AC1"/>
    <mergeCell ref="A2:AC2"/>
    <mergeCell ref="G4:J4"/>
  </mergeCells>
  <phoneticPr fontId="21" type="noConversion"/>
  <conditionalFormatting sqref="Y7">
    <cfRule type="cellIs" dxfId="880" priority="13" operator="equal">
      <formula>3</formula>
    </cfRule>
    <cfRule type="cellIs" dxfId="879" priority="14" operator="equal">
      <formula>2</formula>
    </cfRule>
    <cfRule type="cellIs" dxfId="878" priority="15" operator="equal">
      <formula>1</formula>
    </cfRule>
  </conditionalFormatting>
  <conditionalFormatting sqref="AA7">
    <cfRule type="cellIs" dxfId="877" priority="4" operator="equal">
      <formula>3</formula>
    </cfRule>
    <cfRule type="cellIs" dxfId="876" priority="5" operator="equal">
      <formula>2</formula>
    </cfRule>
    <cfRule type="cellIs" dxfId="875" priority="6" operator="equal">
      <formula>1</formula>
    </cfRule>
  </conditionalFormatting>
  <conditionalFormatting sqref="AC7">
    <cfRule type="cellIs" dxfId="874" priority="1" operator="equal">
      <formula>3</formula>
    </cfRule>
    <cfRule type="cellIs" dxfId="873" priority="2" operator="equal">
      <formula>2</formula>
    </cfRule>
    <cfRule type="cellIs" dxfId="872" priority="3" operator="equal">
      <formula>1</formula>
    </cfRule>
  </conditionalFormatting>
  <pageMargins left="0.7" right="0.7" top="0.75" bottom="0.75" header="0.3" footer="0.3"/>
  <pageSetup paperSize="9" scale="56" orientation="landscape" horizontalDpi="0" verticalDpi="0"/>
  <colBreaks count="1" manualBreakCount="1">
    <brk id="29" max="1048575" man="1"/>
  </colBreaks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B53"/>
  <sheetViews>
    <sheetView zoomScale="90" zoomScaleNormal="90" zoomScalePageLayoutView="90" workbookViewId="0">
      <selection activeCell="A4" sqref="A4"/>
    </sheetView>
  </sheetViews>
  <sheetFormatPr defaultColWidth="8.875" defaultRowHeight="15.75"/>
  <cols>
    <col min="1" max="1" width="4.875" customWidth="1"/>
    <col min="2" max="2" width="19.125" bestFit="1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" customWidth="1"/>
    <col min="22" max="22" width="5.375" customWidth="1"/>
    <col min="23" max="23" width="18.375" customWidth="1"/>
  </cols>
  <sheetData>
    <row r="1" spans="1:54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"/>
      <c r="BB2" s="2"/>
    </row>
    <row r="3" spans="1:54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21">
      <c r="A4" s="8"/>
      <c r="E4" s="1"/>
      <c r="F4" s="1"/>
      <c r="G4" s="464" t="s">
        <v>133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6" spans="1:54" s="8" customFormat="1">
      <c r="A6" s="285" t="s">
        <v>157</v>
      </c>
      <c r="B6" s="220"/>
      <c r="C6" s="220"/>
      <c r="D6" s="220"/>
      <c r="E6" s="221"/>
      <c r="F6" s="158"/>
      <c r="G6" s="219" t="s">
        <v>1322</v>
      </c>
      <c r="H6" s="220"/>
      <c r="I6" s="220"/>
      <c r="J6" s="220"/>
      <c r="K6" s="221"/>
      <c r="L6" s="106"/>
      <c r="M6" s="219" t="s">
        <v>1331</v>
      </c>
      <c r="N6" s="220"/>
      <c r="O6" s="220"/>
      <c r="P6" s="220"/>
      <c r="Q6" s="221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54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L7" s="106"/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16" t="s">
        <v>222</v>
      </c>
      <c r="V7" s="149">
        <v>400</v>
      </c>
      <c r="W7" s="100" t="s">
        <v>1336</v>
      </c>
      <c r="X7" s="14">
        <f>C8</f>
        <v>9.5</v>
      </c>
      <c r="Y7" s="283">
        <f t="shared" ref="Y7:Y15" si="0">SUMPRODUCT((X$7:X$15&gt;X7)/COUNTIF(X$7:X$15,X$7:X$15&amp;""))+1</f>
        <v>1</v>
      </c>
      <c r="Z7" s="14">
        <f>D8</f>
        <v>8.85</v>
      </c>
      <c r="AA7" s="283">
        <f t="shared" ref="AA7:AA15" si="1">SUMPRODUCT((Z$7:Z$15&gt;Z7)/COUNTIF(Z$7:Z$15,Z$7:Z$15&amp;""))+1</f>
        <v>1</v>
      </c>
      <c r="AB7" s="69">
        <f>Table3515505757[[#This Row],[Floor4]]+Table3515505757[[#This Row],[Vault6]]</f>
        <v>18.350000000000001</v>
      </c>
      <c r="AC7" s="283">
        <f t="shared" ref="AC7:AC15" si="2">SUMPRODUCT((AB$7:AB$15&gt;AB7)/COUNTIF(AB$7:AB$15,AB$7:AB$15&amp;""))+1</f>
        <v>1</v>
      </c>
    </row>
    <row r="8" spans="1:54">
      <c r="A8" s="149">
        <v>400</v>
      </c>
      <c r="B8" s="100" t="s">
        <v>1336</v>
      </c>
      <c r="C8" s="13">
        <v>9.5</v>
      </c>
      <c r="D8" s="13">
        <v>8.85</v>
      </c>
      <c r="E8" s="13">
        <f>SUM(C8,D8)</f>
        <v>18.350000000000001</v>
      </c>
      <c r="G8" s="149">
        <v>406</v>
      </c>
      <c r="H8" s="93" t="s">
        <v>1094</v>
      </c>
      <c r="I8" s="13">
        <v>5</v>
      </c>
      <c r="J8" s="13">
        <v>8.25</v>
      </c>
      <c r="K8" s="13">
        <f>SUM(I8,J8)</f>
        <v>13.25</v>
      </c>
      <c r="L8" s="106"/>
      <c r="M8" s="149">
        <v>408</v>
      </c>
      <c r="N8" s="16" t="s">
        <v>1109</v>
      </c>
      <c r="O8" s="13">
        <v>9.3000000000000007</v>
      </c>
      <c r="P8" s="13">
        <v>8.1</v>
      </c>
      <c r="Q8" s="13">
        <f t="shared" ref="Q8:Q9" si="3">SUM(O8,P8)</f>
        <v>17.399999999999999</v>
      </c>
      <c r="U8" s="16" t="s">
        <v>222</v>
      </c>
      <c r="V8" s="149">
        <v>401</v>
      </c>
      <c r="W8" s="95" t="s">
        <v>830</v>
      </c>
      <c r="X8" s="14">
        <f t="shared" ref="X8:X9" si="4">C9</f>
        <v>8.9</v>
      </c>
      <c r="Y8" s="283">
        <f t="shared" si="0"/>
        <v>5</v>
      </c>
      <c r="Z8" s="14">
        <f t="shared" ref="Z8:Z9" si="5">D9</f>
        <v>8.6999999999999993</v>
      </c>
      <c r="AA8" s="283">
        <f t="shared" si="1"/>
        <v>2</v>
      </c>
      <c r="AB8" s="69">
        <f>Table3515505757[[#This Row],[Floor4]]+Table3515505757[[#This Row],[Vault6]]</f>
        <v>17.600000000000001</v>
      </c>
      <c r="AC8" s="283">
        <f t="shared" si="2"/>
        <v>3</v>
      </c>
    </row>
    <row r="9" spans="1:54">
      <c r="A9" s="149">
        <v>401</v>
      </c>
      <c r="B9" s="93" t="s">
        <v>830</v>
      </c>
      <c r="C9" s="13">
        <v>8.9</v>
      </c>
      <c r="D9" s="13">
        <v>8.6999999999999993</v>
      </c>
      <c r="E9" s="13">
        <f t="shared" ref="E9:E13" si="6">SUM(C9,D9)</f>
        <v>17.600000000000001</v>
      </c>
      <c r="G9" s="149">
        <v>407</v>
      </c>
      <c r="H9" s="93" t="s">
        <v>458</v>
      </c>
      <c r="I9" s="13">
        <v>5</v>
      </c>
      <c r="J9" s="13">
        <v>8.15</v>
      </c>
      <c r="K9" s="13">
        <f t="shared" ref="K9" si="7">SUM(I9,J9)</f>
        <v>13.15</v>
      </c>
      <c r="L9" s="106"/>
      <c r="M9" s="149">
        <v>409</v>
      </c>
      <c r="N9" s="16" t="s">
        <v>1110</v>
      </c>
      <c r="O9" s="13">
        <v>9.4</v>
      </c>
      <c r="P9" s="13">
        <v>8.35</v>
      </c>
      <c r="Q9" s="13">
        <f t="shared" si="3"/>
        <v>17.75</v>
      </c>
      <c r="U9" s="16" t="s">
        <v>222</v>
      </c>
      <c r="V9" s="149">
        <v>402</v>
      </c>
      <c r="W9" s="95" t="s">
        <v>831</v>
      </c>
      <c r="X9" s="14">
        <f t="shared" si="4"/>
        <v>8.8000000000000007</v>
      </c>
      <c r="Y9" s="283">
        <f t="shared" si="0"/>
        <v>6</v>
      </c>
      <c r="Z9" s="14">
        <f t="shared" si="5"/>
        <v>8.0500000000000007</v>
      </c>
      <c r="AA9" s="283">
        <f t="shared" si="1"/>
        <v>7</v>
      </c>
      <c r="AB9" s="69">
        <f>Table3515505757[[#This Row],[Floor4]]+Table3515505757[[#This Row],[Vault6]]</f>
        <v>16.850000000000001</v>
      </c>
      <c r="AC9" s="283">
        <f t="shared" si="2"/>
        <v>7</v>
      </c>
    </row>
    <row r="10" spans="1:54">
      <c r="A10" s="149">
        <v>402</v>
      </c>
      <c r="B10" s="93" t="s">
        <v>831</v>
      </c>
      <c r="C10" s="13">
        <v>8.8000000000000007</v>
      </c>
      <c r="D10" s="13">
        <v>8.0500000000000007</v>
      </c>
      <c r="E10" s="13">
        <f t="shared" si="6"/>
        <v>16.850000000000001</v>
      </c>
      <c r="G10" s="80"/>
      <c r="H10" s="107"/>
      <c r="I10" s="68"/>
      <c r="J10" s="68"/>
      <c r="K10" s="68"/>
      <c r="L10" s="106"/>
      <c r="M10" s="80"/>
      <c r="N10" s="107"/>
      <c r="O10" s="68"/>
      <c r="P10" s="68"/>
      <c r="Q10" s="68"/>
      <c r="U10" s="16" t="s">
        <v>222</v>
      </c>
      <c r="V10" s="149">
        <v>404</v>
      </c>
      <c r="W10" s="93" t="s">
        <v>832</v>
      </c>
      <c r="X10" s="14">
        <f>C12</f>
        <v>9.5</v>
      </c>
      <c r="Y10" s="283">
        <f t="shared" si="0"/>
        <v>1</v>
      </c>
      <c r="Z10" s="14">
        <f>D12</f>
        <v>7.6</v>
      </c>
      <c r="AA10" s="283">
        <f t="shared" si="1"/>
        <v>8</v>
      </c>
      <c r="AB10" s="69">
        <f>Table3515505757[[#This Row],[Floor4]]+Table3515505757[[#This Row],[Vault6]]</f>
        <v>17.100000000000001</v>
      </c>
      <c r="AC10" s="283">
        <f t="shared" si="2"/>
        <v>5</v>
      </c>
    </row>
    <row r="11" spans="1:54">
      <c r="A11" s="149">
        <v>403</v>
      </c>
      <c r="B11" s="97"/>
      <c r="C11" s="13">
        <v>0</v>
      </c>
      <c r="D11" s="13">
        <v>0</v>
      </c>
      <c r="E11" s="13">
        <f t="shared" si="6"/>
        <v>0</v>
      </c>
      <c r="G11" s="80"/>
      <c r="H11" s="107"/>
      <c r="I11" s="68"/>
      <c r="J11" s="68"/>
      <c r="K11" s="68"/>
      <c r="L11" s="106"/>
      <c r="M11" s="80"/>
      <c r="N11" s="107"/>
      <c r="O11" s="68"/>
      <c r="P11" s="68"/>
      <c r="Q11" s="68"/>
      <c r="U11" s="16" t="s">
        <v>222</v>
      </c>
      <c r="V11" s="149">
        <v>405</v>
      </c>
      <c r="W11" s="93" t="s">
        <v>833</v>
      </c>
      <c r="X11" s="14">
        <f>C13</f>
        <v>9</v>
      </c>
      <c r="Y11" s="283">
        <f t="shared" si="0"/>
        <v>4</v>
      </c>
      <c r="Z11" s="14">
        <f>D13</f>
        <v>8.0500000000000007</v>
      </c>
      <c r="AA11" s="283">
        <f t="shared" si="1"/>
        <v>7</v>
      </c>
      <c r="AB11" s="69">
        <f>Table3515505757[[#This Row],[Floor4]]+Table3515505757[[#This Row],[Vault6]]</f>
        <v>17.05</v>
      </c>
      <c r="AC11" s="283">
        <f t="shared" si="2"/>
        <v>6</v>
      </c>
    </row>
    <row r="12" spans="1:54">
      <c r="A12" s="149">
        <v>404</v>
      </c>
      <c r="B12" s="93" t="s">
        <v>832</v>
      </c>
      <c r="C12" s="13">
        <v>9.5</v>
      </c>
      <c r="D12" s="13">
        <v>7.6</v>
      </c>
      <c r="E12" s="13">
        <f t="shared" si="6"/>
        <v>17.100000000000001</v>
      </c>
      <c r="G12" s="80"/>
      <c r="H12" s="84"/>
      <c r="I12" s="64"/>
      <c r="J12" s="64"/>
      <c r="K12" s="68"/>
      <c r="L12" s="106"/>
      <c r="M12" s="80"/>
      <c r="N12" s="39" t="s">
        <v>12</v>
      </c>
      <c r="O12" s="43" t="s">
        <v>5</v>
      </c>
      <c r="P12" s="44" t="s">
        <v>11</v>
      </c>
      <c r="Q12" s="68"/>
      <c r="U12" s="16" t="s">
        <v>454</v>
      </c>
      <c r="V12" s="149">
        <v>406</v>
      </c>
      <c r="W12" s="93" t="s">
        <v>1094</v>
      </c>
      <c r="X12" s="14">
        <f>I8</f>
        <v>5</v>
      </c>
      <c r="Y12" s="283">
        <f t="shared" si="0"/>
        <v>7</v>
      </c>
      <c r="Z12" s="14">
        <f>J8</f>
        <v>8.25</v>
      </c>
      <c r="AA12" s="283">
        <f t="shared" si="1"/>
        <v>4</v>
      </c>
      <c r="AB12" s="69">
        <f>Table3515505757[[#This Row],[Floor4]]+Table3515505757[[#This Row],[Vault6]]</f>
        <v>13.25</v>
      </c>
      <c r="AC12" s="283">
        <f t="shared" si="2"/>
        <v>8</v>
      </c>
    </row>
    <row r="13" spans="1:54" ht="16.5" thickBot="1">
      <c r="A13" s="149">
        <v>405</v>
      </c>
      <c r="B13" s="100" t="s">
        <v>833</v>
      </c>
      <c r="C13" s="13">
        <v>9</v>
      </c>
      <c r="D13" s="13">
        <v>8.0500000000000007</v>
      </c>
      <c r="E13" s="13">
        <f t="shared" si="6"/>
        <v>17.05</v>
      </c>
      <c r="F13" s="8"/>
      <c r="G13" s="80"/>
      <c r="H13" s="94"/>
      <c r="J13" s="25"/>
      <c r="K13" s="68"/>
      <c r="L13" s="106"/>
      <c r="M13" s="80"/>
      <c r="N13" s="45" t="s">
        <v>1354</v>
      </c>
      <c r="O13" s="47">
        <f>E14</f>
        <v>70.550000000000011</v>
      </c>
      <c r="P13" s="40">
        <f>SUMPRODUCT((O$17:O$19&gt;O13)/COUNTIF(O$17:O$19,O$17:O$19&amp;""))+1</f>
        <v>1</v>
      </c>
      <c r="Q13" s="68"/>
      <c r="U13" s="16" t="s">
        <v>454</v>
      </c>
      <c r="V13" s="149">
        <v>407</v>
      </c>
      <c r="W13" s="93" t="s">
        <v>458</v>
      </c>
      <c r="X13" s="14">
        <f>I9</f>
        <v>5</v>
      </c>
      <c r="Y13" s="283">
        <f t="shared" si="0"/>
        <v>7</v>
      </c>
      <c r="Z13" s="14">
        <f>J9</f>
        <v>8.15</v>
      </c>
      <c r="AA13" s="283">
        <f t="shared" si="1"/>
        <v>5</v>
      </c>
      <c r="AB13" s="69">
        <f>Table3515505757[[#This Row],[Floor4]]+Table3515505757[[#This Row],[Vault6]]</f>
        <v>13.15</v>
      </c>
      <c r="AC13" s="283">
        <f t="shared" si="2"/>
        <v>9</v>
      </c>
    </row>
    <row r="14" spans="1:54" ht="16.5" thickBot="1">
      <c r="B14" s="25" t="s">
        <v>10</v>
      </c>
      <c r="C14" s="19">
        <f>SUM(C8:C13)-SMALL(C8:C13,1)-SMALL(C8:C13,2)</f>
        <v>36.900000000000006</v>
      </c>
      <c r="D14" s="19">
        <f>SUM(D8:D13)-SMALL(D8:D13,1)-SMALL(D8:D13,2)</f>
        <v>33.65</v>
      </c>
      <c r="E14" s="20">
        <f>SUM(C14:D14)</f>
        <v>70.550000000000011</v>
      </c>
      <c r="F14" s="8"/>
      <c r="G14" s="106"/>
      <c r="K14" s="105"/>
      <c r="L14" s="106"/>
      <c r="M14" s="106"/>
      <c r="Q14" s="105"/>
      <c r="U14" s="16" t="s">
        <v>1104</v>
      </c>
      <c r="V14" s="149">
        <v>408</v>
      </c>
      <c r="W14" s="16" t="s">
        <v>1109</v>
      </c>
      <c r="X14" s="14">
        <f>O8</f>
        <v>9.3000000000000007</v>
      </c>
      <c r="Y14" s="283">
        <f t="shared" si="0"/>
        <v>3</v>
      </c>
      <c r="Z14" s="14">
        <f>P8</f>
        <v>8.1</v>
      </c>
      <c r="AA14" s="283">
        <f t="shared" si="1"/>
        <v>6</v>
      </c>
      <c r="AB14" s="69">
        <f>Table3515505757[[#This Row],[Floor4]]+Table3515505757[[#This Row],[Vault6]]</f>
        <v>17.399999999999999</v>
      </c>
      <c r="AC14" s="283">
        <f t="shared" si="2"/>
        <v>4</v>
      </c>
    </row>
    <row r="15" spans="1:54">
      <c r="B15" s="94" t="s">
        <v>37</v>
      </c>
      <c r="D15" s="25"/>
      <c r="E15" s="26"/>
      <c r="H15" s="137"/>
      <c r="I15" s="137"/>
      <c r="J15" s="137"/>
      <c r="K15" s="26"/>
      <c r="Q15" s="26"/>
      <c r="U15" s="16" t="s">
        <v>1104</v>
      </c>
      <c r="V15" s="149">
        <v>409</v>
      </c>
      <c r="W15" s="16" t="s">
        <v>1110</v>
      </c>
      <c r="X15" s="14">
        <f>O9</f>
        <v>9.4</v>
      </c>
      <c r="Y15" s="283">
        <f t="shared" si="0"/>
        <v>2</v>
      </c>
      <c r="Z15" s="14">
        <f>P9</f>
        <v>8.35</v>
      </c>
      <c r="AA15" s="283">
        <f t="shared" si="1"/>
        <v>3</v>
      </c>
      <c r="AB15" s="69">
        <f>Table3515505757[[#This Row],[Floor4]]+Table3515505757[[#This Row],[Vault6]]</f>
        <v>17.75</v>
      </c>
      <c r="AC15" s="283">
        <f t="shared" si="2"/>
        <v>2</v>
      </c>
    </row>
    <row r="16" spans="1:54">
      <c r="H16" s="77"/>
      <c r="I16" s="77"/>
      <c r="J16" s="77"/>
    </row>
    <row r="17" spans="1:17">
      <c r="A17" s="137"/>
      <c r="B17" s="137"/>
      <c r="C17" s="137"/>
      <c r="D17" s="137"/>
      <c r="E17" s="137"/>
      <c r="F17" s="106"/>
      <c r="G17" s="137"/>
      <c r="H17" s="107"/>
      <c r="I17" s="68"/>
      <c r="J17" s="68"/>
      <c r="K17" s="137"/>
      <c r="L17" s="106"/>
      <c r="M17" s="137"/>
      <c r="Q17" s="137"/>
    </row>
    <row r="18" spans="1:17">
      <c r="A18" s="77"/>
      <c r="B18" s="77"/>
      <c r="C18" s="77"/>
      <c r="D18" s="77"/>
      <c r="E18" s="77"/>
      <c r="F18" s="106"/>
      <c r="G18" s="77"/>
      <c r="H18" s="107"/>
      <c r="I18" s="68"/>
      <c r="J18" s="68"/>
      <c r="K18" s="77"/>
      <c r="L18" s="1"/>
      <c r="M18" s="111"/>
      <c r="Q18" s="111"/>
    </row>
    <row r="19" spans="1:17">
      <c r="A19" s="80"/>
      <c r="B19" s="107"/>
      <c r="C19" s="68"/>
      <c r="D19" s="68"/>
      <c r="E19" s="68"/>
      <c r="F19" s="106"/>
      <c r="G19" s="80"/>
      <c r="H19" s="144"/>
      <c r="I19" s="68"/>
      <c r="J19" s="68"/>
      <c r="K19" s="68"/>
      <c r="L19" s="1"/>
      <c r="M19" s="102"/>
      <c r="Q19" s="73"/>
    </row>
    <row r="20" spans="1:17">
      <c r="A20" s="80"/>
      <c r="B20" s="107"/>
      <c r="C20" s="68"/>
      <c r="D20" s="68"/>
      <c r="E20" s="68"/>
      <c r="F20" s="106"/>
      <c r="G20" s="80"/>
      <c r="H20" s="137"/>
      <c r="I20" s="137"/>
      <c r="J20" s="137"/>
      <c r="K20" s="68"/>
      <c r="L20" s="1"/>
      <c r="M20" s="102"/>
      <c r="Q20" s="73"/>
    </row>
    <row r="21" spans="1:17">
      <c r="A21" s="80"/>
      <c r="B21" s="143"/>
      <c r="C21" s="68"/>
      <c r="D21" s="68"/>
      <c r="E21" s="68"/>
      <c r="F21" s="106"/>
      <c r="G21" s="80"/>
      <c r="H21" s="77"/>
      <c r="I21" s="77"/>
      <c r="J21" s="77"/>
      <c r="K21" s="68"/>
      <c r="L21" s="1"/>
      <c r="M21" s="102"/>
      <c r="Q21" s="73"/>
    </row>
    <row r="22" spans="1:17">
      <c r="A22" s="137"/>
      <c r="B22" s="137"/>
      <c r="C22" s="137"/>
      <c r="D22" s="137"/>
      <c r="E22" s="137"/>
      <c r="F22" s="106"/>
      <c r="G22" s="137"/>
      <c r="H22" s="107"/>
      <c r="I22" s="68"/>
      <c r="J22" s="68"/>
      <c r="K22" s="137"/>
      <c r="L22" s="1"/>
      <c r="M22" s="102"/>
      <c r="Q22" s="73"/>
    </row>
    <row r="23" spans="1:17">
      <c r="A23" s="77"/>
      <c r="B23" s="77"/>
      <c r="C23" s="77"/>
      <c r="D23" s="77"/>
      <c r="E23" s="77"/>
      <c r="F23" s="106"/>
      <c r="G23" s="77"/>
      <c r="H23" s="84"/>
      <c r="I23" s="64"/>
      <c r="J23" s="64"/>
      <c r="K23" s="77"/>
      <c r="L23" s="1"/>
      <c r="M23" s="102"/>
      <c r="Q23" s="73"/>
    </row>
    <row r="24" spans="1:17">
      <c r="A24" s="80"/>
      <c r="B24" s="107"/>
      <c r="C24" s="68"/>
      <c r="D24" s="68"/>
      <c r="E24" s="68"/>
      <c r="F24" s="106"/>
      <c r="G24" s="80"/>
      <c r="H24" s="137"/>
      <c r="I24" s="137"/>
      <c r="J24" s="137"/>
      <c r="K24" s="68"/>
      <c r="L24" s="106"/>
      <c r="M24" s="102"/>
      <c r="Q24" s="68"/>
    </row>
    <row r="25" spans="1:17">
      <c r="A25" s="106"/>
      <c r="B25" s="84"/>
      <c r="C25" s="64"/>
      <c r="D25" s="64"/>
      <c r="E25" s="105"/>
      <c r="F25" s="106"/>
      <c r="G25" s="106"/>
      <c r="H25" s="77"/>
      <c r="I25" s="77"/>
      <c r="J25" s="77"/>
      <c r="K25" s="105"/>
      <c r="L25" s="106"/>
      <c r="M25" s="1"/>
      <c r="Q25" s="105"/>
    </row>
    <row r="26" spans="1:17">
      <c r="A26" s="106"/>
      <c r="B26" s="106"/>
      <c r="C26" s="106"/>
      <c r="D26" s="106"/>
      <c r="E26" s="106"/>
      <c r="F26" s="106"/>
      <c r="G26" s="137"/>
      <c r="H26" s="107"/>
      <c r="I26" s="68"/>
      <c r="J26" s="68"/>
      <c r="K26" s="137"/>
      <c r="Q26" s="26"/>
    </row>
    <row r="27" spans="1:17">
      <c r="A27" s="106"/>
      <c r="B27" s="106"/>
      <c r="C27" s="106"/>
      <c r="D27" s="106"/>
      <c r="E27" s="106"/>
      <c r="F27" s="81"/>
      <c r="G27" s="77"/>
      <c r="H27" s="107"/>
      <c r="I27" s="68"/>
      <c r="J27" s="68"/>
      <c r="K27" s="77"/>
      <c r="L27" s="81"/>
    </row>
    <row r="28" spans="1:17">
      <c r="A28" s="106"/>
      <c r="B28" s="106"/>
      <c r="C28" s="106"/>
      <c r="D28" s="106"/>
      <c r="E28" s="106"/>
      <c r="F28" s="81"/>
      <c r="G28" s="141"/>
      <c r="H28" s="107"/>
      <c r="I28" s="68"/>
      <c r="J28" s="68"/>
      <c r="K28" s="68"/>
      <c r="L28" s="137"/>
    </row>
    <row r="29" spans="1:17">
      <c r="A29" s="106"/>
      <c r="B29" s="106"/>
      <c r="C29" s="106"/>
      <c r="D29" s="106"/>
      <c r="E29" s="106"/>
      <c r="F29" s="81"/>
      <c r="G29" s="141"/>
      <c r="H29" s="87"/>
      <c r="I29" s="68"/>
      <c r="J29" s="68"/>
      <c r="K29" s="68"/>
      <c r="L29" s="81"/>
    </row>
    <row r="30" spans="1:17">
      <c r="A30" s="106"/>
      <c r="B30" s="106"/>
      <c r="C30" s="106"/>
      <c r="D30" s="106"/>
      <c r="E30" s="106"/>
      <c r="F30" s="81"/>
      <c r="G30" s="80"/>
      <c r="H30" s="81"/>
      <c r="I30" s="81"/>
      <c r="J30" s="81"/>
      <c r="K30" s="68"/>
      <c r="L30" s="81"/>
      <c r="N30" s="65"/>
      <c r="O30" s="66"/>
      <c r="P30" s="67"/>
    </row>
    <row r="31" spans="1:17">
      <c r="A31" s="78"/>
      <c r="B31" s="87"/>
      <c r="C31" s="79"/>
      <c r="D31" s="79"/>
      <c r="E31" s="79"/>
      <c r="F31" s="81"/>
      <c r="G31" s="80"/>
      <c r="H31" s="137"/>
      <c r="I31" s="137"/>
      <c r="J31" s="137"/>
      <c r="K31" s="68"/>
      <c r="L31" s="81"/>
    </row>
    <row r="32" spans="1:17">
      <c r="A32" s="78"/>
      <c r="B32" s="87"/>
      <c r="C32" s="79"/>
      <c r="D32" s="79"/>
      <c r="E32" s="79"/>
      <c r="F32" s="81"/>
      <c r="G32" s="81"/>
      <c r="H32" s="77"/>
      <c r="I32" s="77"/>
      <c r="J32" s="77"/>
      <c r="K32" s="81"/>
      <c r="L32" s="81"/>
    </row>
    <row r="33" spans="1:12">
      <c r="A33" s="78"/>
      <c r="B33" s="87"/>
      <c r="C33" s="79"/>
      <c r="D33" s="79"/>
      <c r="E33" s="79"/>
      <c r="F33" s="81"/>
      <c r="G33" s="137"/>
      <c r="H33" s="87"/>
      <c r="I33" s="68"/>
      <c r="J33" s="68"/>
      <c r="K33" s="137"/>
      <c r="L33" s="137"/>
    </row>
    <row r="34" spans="1:12">
      <c r="A34" s="78"/>
      <c r="B34" s="87"/>
      <c r="C34" s="79"/>
      <c r="D34" s="79"/>
      <c r="E34" s="79"/>
      <c r="F34" s="81"/>
      <c r="G34" s="77"/>
      <c r="H34" s="87"/>
      <c r="I34" s="68"/>
      <c r="J34" s="68"/>
      <c r="K34" s="77"/>
      <c r="L34" s="81"/>
    </row>
    <row r="35" spans="1:12">
      <c r="A35" s="78"/>
      <c r="B35" s="87"/>
      <c r="C35" s="79"/>
      <c r="D35" s="79"/>
      <c r="E35" s="79"/>
      <c r="F35" s="81"/>
      <c r="G35" s="80"/>
      <c r="H35" s="81"/>
      <c r="I35" s="81"/>
      <c r="J35" s="81"/>
      <c r="K35" s="68"/>
      <c r="L35" s="81"/>
    </row>
    <row r="36" spans="1:12">
      <c r="A36" s="88"/>
      <c r="B36" s="82"/>
      <c r="C36" s="79"/>
      <c r="D36" s="79"/>
      <c r="E36" s="83"/>
      <c r="F36" s="81"/>
      <c r="G36" s="80"/>
      <c r="H36" s="137"/>
      <c r="I36" s="137"/>
      <c r="J36" s="137"/>
      <c r="K36" s="68"/>
      <c r="L36" s="81"/>
    </row>
    <row r="37" spans="1:12">
      <c r="A37" s="81"/>
      <c r="B37" s="89"/>
      <c r="C37" s="81"/>
      <c r="D37" s="84"/>
      <c r="E37" s="85"/>
      <c r="F37" s="81"/>
      <c r="G37" s="81"/>
      <c r="H37" s="77"/>
      <c r="I37" s="77"/>
      <c r="J37" s="77"/>
      <c r="K37" s="81"/>
      <c r="L37" s="81"/>
    </row>
    <row r="38" spans="1:12">
      <c r="A38" s="75"/>
      <c r="B38" s="75"/>
      <c r="C38" s="75"/>
      <c r="D38" s="75"/>
      <c r="E38" s="75"/>
      <c r="F38" s="81"/>
      <c r="G38" s="137"/>
      <c r="H38" s="87"/>
      <c r="I38" s="68"/>
      <c r="J38" s="68"/>
      <c r="K38" s="137"/>
      <c r="L38" s="137"/>
    </row>
    <row r="39" spans="1:12">
      <c r="A39" s="76"/>
      <c r="B39" s="76"/>
      <c r="C39" s="76"/>
      <c r="D39" s="76"/>
      <c r="E39" s="76"/>
      <c r="F39" s="81"/>
      <c r="G39" s="77"/>
      <c r="H39" s="81"/>
      <c r="I39" s="81"/>
      <c r="J39" s="81"/>
      <c r="K39" s="77"/>
      <c r="L39" s="81"/>
    </row>
    <row r="40" spans="1:12">
      <c r="A40" s="78"/>
      <c r="B40" s="87"/>
      <c r="C40" s="79"/>
      <c r="D40" s="79"/>
      <c r="E40" s="79"/>
      <c r="F40" s="81"/>
      <c r="G40" s="80"/>
      <c r="H40" s="81"/>
      <c r="I40" s="81"/>
      <c r="J40" s="81"/>
      <c r="K40" s="68"/>
      <c r="L40" s="81"/>
    </row>
    <row r="41" spans="1:12">
      <c r="A41" s="78"/>
      <c r="B41" s="87"/>
      <c r="C41" s="79"/>
      <c r="D41" s="79"/>
      <c r="E41" s="79"/>
      <c r="F41" s="81"/>
      <c r="G41" s="81"/>
      <c r="H41" s="81"/>
      <c r="I41" s="81"/>
      <c r="J41" s="81"/>
      <c r="K41" s="81"/>
      <c r="L41" s="81"/>
    </row>
    <row r="42" spans="1:12">
      <c r="A42" s="78"/>
      <c r="B42" s="87"/>
      <c r="C42" s="79"/>
      <c r="D42" s="79"/>
      <c r="E42" s="79"/>
      <c r="F42" s="81"/>
      <c r="G42" s="81"/>
      <c r="H42" s="81"/>
      <c r="I42" s="81"/>
      <c r="J42" s="81"/>
      <c r="K42" s="81"/>
      <c r="L42" s="81"/>
    </row>
    <row r="43" spans="1:12">
      <c r="A43" s="78"/>
      <c r="B43" s="87"/>
      <c r="C43" s="79"/>
      <c r="D43" s="79"/>
      <c r="E43" s="79"/>
      <c r="F43" s="81"/>
      <c r="G43" s="81"/>
      <c r="H43" s="81"/>
      <c r="I43" s="81"/>
      <c r="J43" s="81"/>
      <c r="K43" s="81"/>
      <c r="L43" s="81"/>
    </row>
    <row r="44" spans="1:12">
      <c r="A44" s="78"/>
      <c r="B44" s="87"/>
      <c r="C44" s="79"/>
      <c r="D44" s="79"/>
      <c r="E44" s="79"/>
      <c r="F44" s="81"/>
      <c r="G44" s="81"/>
      <c r="H44" s="81"/>
      <c r="I44" s="81"/>
      <c r="J44" s="81"/>
      <c r="K44" s="81"/>
      <c r="L44" s="81"/>
    </row>
    <row r="45" spans="1:12">
      <c r="A45" s="78"/>
      <c r="B45" s="87"/>
      <c r="C45" s="79"/>
      <c r="D45" s="79"/>
      <c r="E45" s="79"/>
      <c r="F45" s="81"/>
      <c r="G45" s="81"/>
      <c r="H45" s="81"/>
      <c r="I45" s="81"/>
      <c r="J45" s="81"/>
      <c r="K45" s="81"/>
      <c r="L45" s="81"/>
    </row>
    <row r="46" spans="1:12">
      <c r="A46" s="88"/>
      <c r="B46" s="82"/>
      <c r="C46" s="79"/>
      <c r="D46" s="79"/>
      <c r="E46" s="83"/>
      <c r="F46" s="81"/>
      <c r="G46" s="81"/>
      <c r="H46" s="81"/>
      <c r="I46" s="81"/>
      <c r="J46" s="81"/>
      <c r="K46" s="81"/>
      <c r="L46" s="81"/>
    </row>
    <row r="47" spans="1:1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1:12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1:1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12">
      <c r="A52" s="81"/>
      <c r="B52" s="81"/>
      <c r="C52" s="81"/>
      <c r="D52" s="81"/>
      <c r="E52" s="81"/>
      <c r="F52" s="81"/>
      <c r="G52" s="81"/>
      <c r="K52" s="81"/>
      <c r="L52" s="81"/>
    </row>
    <row r="53" spans="1:12">
      <c r="A53" s="81"/>
      <c r="B53" s="81"/>
      <c r="C53" s="81"/>
      <c r="D53" s="81"/>
      <c r="E53" s="81"/>
      <c r="F53" s="81"/>
      <c r="G53" s="81"/>
      <c r="K53" s="81"/>
      <c r="L53" s="81"/>
    </row>
  </sheetData>
  <mergeCells count="3">
    <mergeCell ref="G4:I4"/>
    <mergeCell ref="A1:AC1"/>
    <mergeCell ref="A2:AC2"/>
  </mergeCells>
  <phoneticPr fontId="21" type="noConversion"/>
  <conditionalFormatting sqref="AA7:AA15 Y7:Y15 AC7:AC15">
    <cfRule type="cellIs" dxfId="859" priority="7" operator="equal">
      <formula>3</formula>
    </cfRule>
    <cfRule type="cellIs" dxfId="858" priority="8" operator="equal">
      <formula>2</formula>
    </cfRule>
    <cfRule type="cellIs" dxfId="857" priority="9" operator="equal">
      <formula>1</formula>
    </cfRule>
  </conditionalFormatting>
  <conditionalFormatting sqref="P13">
    <cfRule type="cellIs" dxfId="856" priority="1" operator="equal">
      <formula>3</formula>
    </cfRule>
    <cfRule type="cellIs" dxfId="855" priority="2" operator="equal">
      <formula>2</formula>
    </cfRule>
    <cfRule type="cellIs" dxfId="854" priority="3" operator="equal">
      <formula>1</formula>
    </cfRule>
  </conditionalFormatting>
  <pageMargins left="0.75" right="0.75" top="1" bottom="1" header="0.5" footer="0.5"/>
  <pageSetup paperSize="9" scale="51" orientation="landscape" horizontalDpi="4294967292" verticalDpi="4294967292"/>
  <colBreaks count="1" manualBreakCount="1">
    <brk id="29" max="1048575" man="1"/>
  </colBreaks>
  <ignoredErrors>
    <ignoredError sqref="Z7:Z15" formula="1"/>
  </ignoredErrors>
  <tableParts count="2"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41"/>
  <sheetViews>
    <sheetView zoomScale="90" zoomScaleNormal="90" zoomScalePageLayoutView="90" workbookViewId="0">
      <selection activeCell="N23" sqref="N23"/>
    </sheetView>
  </sheetViews>
  <sheetFormatPr defaultColWidth="8.875" defaultRowHeight="15.75"/>
  <cols>
    <col min="1" max="1" width="4.87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5.375" bestFit="1" customWidth="1"/>
    <col min="8" max="8" width="19.125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625" customWidth="1"/>
    <col min="22" max="22" width="6.125" customWidth="1"/>
    <col min="23" max="23" width="23" bestFit="1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128"/>
      <c r="AE1" s="128"/>
      <c r="AF1" s="128"/>
      <c r="AG1" s="128"/>
      <c r="AH1" s="128"/>
      <c r="AI1" s="128"/>
      <c r="AJ1" s="128"/>
      <c r="AK1" s="128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s="32" customFormat="1" ht="21" customHeight="1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129"/>
      <c r="AE2" s="129"/>
      <c r="AF2" s="129"/>
      <c r="AG2" s="129"/>
      <c r="AH2" s="129"/>
      <c r="AI2" s="129"/>
      <c r="AJ2" s="129"/>
      <c r="AK2" s="3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"/>
      <c r="BR2" s="2"/>
    </row>
    <row r="3" spans="1:70" s="8" customFormat="1" ht="28.5" customHeight="1">
      <c r="E3" s="379"/>
      <c r="F3" s="379"/>
      <c r="G3" s="379"/>
      <c r="H3" s="379"/>
      <c r="I3" s="379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380"/>
      <c r="AB3" s="381"/>
      <c r="AC3" s="382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</row>
    <row r="4" spans="1:70" ht="21">
      <c r="E4" s="1"/>
      <c r="F4" s="1"/>
      <c r="G4" s="461" t="s">
        <v>116</v>
      </c>
      <c r="H4" s="462"/>
      <c r="I4" s="463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6" spans="1:70" s="8" customFormat="1">
      <c r="A6" s="285" t="s">
        <v>578</v>
      </c>
      <c r="B6" s="125"/>
      <c r="C6" s="125"/>
      <c r="D6" s="125"/>
      <c r="E6" s="126"/>
      <c r="G6" s="146" t="s">
        <v>49</v>
      </c>
      <c r="H6" s="125"/>
      <c r="I6" s="125"/>
      <c r="J6" s="125"/>
      <c r="K6" s="126"/>
      <c r="M6" s="146" t="s">
        <v>415</v>
      </c>
      <c r="N6" s="220"/>
      <c r="O6" s="220"/>
      <c r="P6" s="220"/>
      <c r="Q6" s="221"/>
      <c r="R6" s="106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R7" s="1"/>
      <c r="U7" s="33" t="s">
        <v>583</v>
      </c>
      <c r="V7" s="149">
        <v>411</v>
      </c>
      <c r="W7" s="93" t="s">
        <v>596</v>
      </c>
      <c r="X7" s="213">
        <f>C8</f>
        <v>8.6</v>
      </c>
      <c r="Y7" s="283">
        <f>SUMPRODUCT((X$7:X$34&gt;X7)/COUNTIF(X$7:X$34,X$7:X$34&amp;""))+1</f>
        <v>6</v>
      </c>
      <c r="Z7" s="213">
        <f>D8</f>
        <v>8.6</v>
      </c>
      <c r="AA7" s="283">
        <f t="shared" ref="AA7:AA34" si="0">SUMPRODUCT((Z$7:Z$34&gt;Z7)/COUNTIF(Z$7:Z$34,Z$7:Z$34&amp;""))+1</f>
        <v>8</v>
      </c>
      <c r="AB7" s="217">
        <f>Table351213142441[[#This Row],[Floor]]+Table351213142441[[#This Row],[Vault]]</f>
        <v>17.2</v>
      </c>
      <c r="AC7" s="283">
        <f t="shared" ref="AC7:AC34" si="1">SUMPRODUCT((AB$7:AB$34&gt;AB7)/COUNTIF(AB$7:AB$34,AB$7:AB$34&amp;""))+1</f>
        <v>7</v>
      </c>
    </row>
    <row r="8" spans="1:70">
      <c r="A8" s="149">
        <v>411</v>
      </c>
      <c r="B8" s="93" t="s">
        <v>596</v>
      </c>
      <c r="C8" s="13">
        <v>8.6</v>
      </c>
      <c r="D8" s="13">
        <v>8.6</v>
      </c>
      <c r="E8" s="13">
        <f>SUM(C8,D8)</f>
        <v>17.2</v>
      </c>
      <c r="G8" s="149">
        <v>417</v>
      </c>
      <c r="H8" s="93" t="s">
        <v>696</v>
      </c>
      <c r="I8" s="13">
        <v>8.9</v>
      </c>
      <c r="J8" s="13">
        <v>9.35</v>
      </c>
      <c r="K8" s="13">
        <f>SUM(I8,J8)</f>
        <v>18.25</v>
      </c>
      <c r="M8" s="149">
        <v>423</v>
      </c>
      <c r="N8" s="93" t="s">
        <v>1032</v>
      </c>
      <c r="O8" s="13">
        <v>8.4</v>
      </c>
      <c r="P8" s="13">
        <v>8.85</v>
      </c>
      <c r="Q8" s="13">
        <f>SUM(O8,P8)</f>
        <v>17.25</v>
      </c>
      <c r="R8" s="1"/>
      <c r="U8" s="33" t="s">
        <v>583</v>
      </c>
      <c r="V8" s="149">
        <v>412</v>
      </c>
      <c r="W8" s="93" t="s">
        <v>597</v>
      </c>
      <c r="X8" s="213">
        <f t="shared" ref="X8" si="2">C9</f>
        <v>8.3000000000000007</v>
      </c>
      <c r="Y8" s="283">
        <f t="shared" ref="Y8:Y34" si="3">SUMPRODUCT((X$7:X$34&gt;X8)/COUNTIF(X$7:X$34,X$7:X$34&amp;""))+1</f>
        <v>10</v>
      </c>
      <c r="Z8" s="213">
        <f t="shared" ref="Z8" si="4">D9</f>
        <v>8.9</v>
      </c>
      <c r="AA8" s="283">
        <f t="shared" si="0"/>
        <v>3</v>
      </c>
      <c r="AB8" s="217">
        <f>Table351213142441[[#This Row],[Floor]]+Table351213142441[[#This Row],[Vault]]</f>
        <v>17.200000000000003</v>
      </c>
      <c r="AC8" s="283">
        <f t="shared" si="1"/>
        <v>7</v>
      </c>
    </row>
    <row r="9" spans="1:70">
      <c r="A9" s="149">
        <v>412</v>
      </c>
      <c r="B9" s="93" t="s">
        <v>597</v>
      </c>
      <c r="C9" s="13">
        <v>8.3000000000000007</v>
      </c>
      <c r="D9" s="13">
        <v>8.9</v>
      </c>
      <c r="E9" s="13">
        <f t="shared" ref="E9:E13" si="5">SUM(C9,D9)</f>
        <v>17.200000000000003</v>
      </c>
      <c r="G9" s="149">
        <v>418</v>
      </c>
      <c r="H9" s="93" t="s">
        <v>697</v>
      </c>
      <c r="I9" s="13">
        <v>8.5</v>
      </c>
      <c r="J9" s="13">
        <v>8.4</v>
      </c>
      <c r="K9" s="13">
        <f t="shared" ref="K9:K13" si="6">SUM(I9,J9)</f>
        <v>16.899999999999999</v>
      </c>
      <c r="M9" s="149">
        <v>424</v>
      </c>
      <c r="N9" s="93" t="s">
        <v>438</v>
      </c>
      <c r="O9" s="13">
        <v>8.85</v>
      </c>
      <c r="P9" s="13">
        <v>9.1</v>
      </c>
      <c r="Q9" s="13">
        <f t="shared" ref="Q9:Q13" si="7">SUM(O9,P9)</f>
        <v>17.95</v>
      </c>
      <c r="R9" s="1"/>
      <c r="U9" s="33" t="s">
        <v>583</v>
      </c>
      <c r="V9" s="149">
        <v>413</v>
      </c>
      <c r="W9" s="93" t="s">
        <v>598</v>
      </c>
      <c r="X9" s="213">
        <f>C10</f>
        <v>7.85</v>
      </c>
      <c r="Y9" s="283">
        <f t="shared" si="3"/>
        <v>15</v>
      </c>
      <c r="Z9" s="213">
        <f>D10</f>
        <v>8.85</v>
      </c>
      <c r="AA9" s="283">
        <f t="shared" si="0"/>
        <v>4</v>
      </c>
      <c r="AB9" s="217">
        <f>Table351213142441[[#This Row],[Floor]]+Table351213142441[[#This Row],[Vault]]</f>
        <v>16.7</v>
      </c>
      <c r="AC9" s="283">
        <f t="shared" si="1"/>
        <v>14</v>
      </c>
    </row>
    <row r="10" spans="1:70">
      <c r="A10" s="149">
        <v>413</v>
      </c>
      <c r="B10" s="93" t="s">
        <v>598</v>
      </c>
      <c r="C10" s="13">
        <v>7.85</v>
      </c>
      <c r="D10" s="13">
        <v>8.85</v>
      </c>
      <c r="E10" s="13">
        <f t="shared" si="5"/>
        <v>16.7</v>
      </c>
      <c r="G10" s="149">
        <v>419</v>
      </c>
      <c r="H10" s="93" t="s">
        <v>698</v>
      </c>
      <c r="I10" s="13">
        <v>7.9</v>
      </c>
      <c r="J10" s="13">
        <v>8.6999999999999993</v>
      </c>
      <c r="K10" s="13">
        <f t="shared" si="6"/>
        <v>16.600000000000001</v>
      </c>
      <c r="M10" s="149">
        <v>425</v>
      </c>
      <c r="N10" s="93" t="s">
        <v>444</v>
      </c>
      <c r="O10" s="13">
        <v>8.4</v>
      </c>
      <c r="P10" s="13">
        <v>8.65</v>
      </c>
      <c r="Q10" s="13">
        <f t="shared" si="7"/>
        <v>17.05</v>
      </c>
      <c r="R10" s="239"/>
      <c r="U10" s="400" t="s">
        <v>583</v>
      </c>
      <c r="V10" s="396">
        <v>414</v>
      </c>
      <c r="W10" s="397" t="s">
        <v>599</v>
      </c>
      <c r="X10" s="401">
        <f>C11</f>
        <v>0</v>
      </c>
      <c r="Y10" s="402">
        <f t="shared" si="3"/>
        <v>19</v>
      </c>
      <c r="Z10" s="401">
        <f>D11</f>
        <v>0</v>
      </c>
      <c r="AA10" s="402">
        <f t="shared" si="0"/>
        <v>14.999999999999998</v>
      </c>
      <c r="AB10" s="415">
        <f>Table351213142441[[#This Row],[Floor]]+Table351213142441[[#This Row],[Vault]]</f>
        <v>0</v>
      </c>
      <c r="AC10" s="402">
        <f t="shared" si="1"/>
        <v>22</v>
      </c>
    </row>
    <row r="11" spans="1:70">
      <c r="A11" s="396">
        <v>414</v>
      </c>
      <c r="B11" s="397" t="s">
        <v>599</v>
      </c>
      <c r="C11" s="398">
        <v>0</v>
      </c>
      <c r="D11" s="398">
        <v>0</v>
      </c>
      <c r="E11" s="398">
        <f t="shared" si="5"/>
        <v>0</v>
      </c>
      <c r="G11" s="149">
        <v>420</v>
      </c>
      <c r="H11" s="93" t="s">
        <v>699</v>
      </c>
      <c r="I11" s="13">
        <v>7.6</v>
      </c>
      <c r="J11" s="13">
        <v>8.6</v>
      </c>
      <c r="K11" s="13">
        <f t="shared" si="6"/>
        <v>16.2</v>
      </c>
      <c r="M11" s="149">
        <v>426</v>
      </c>
      <c r="N11" s="93" t="s">
        <v>1033</v>
      </c>
      <c r="O11" s="13">
        <v>8.9</v>
      </c>
      <c r="P11" s="13">
        <v>8.6999999999999993</v>
      </c>
      <c r="Q11" s="13">
        <f t="shared" si="7"/>
        <v>17.600000000000001</v>
      </c>
      <c r="R11" s="1"/>
      <c r="U11" s="33" t="s">
        <v>583</v>
      </c>
      <c r="V11" s="352">
        <v>415</v>
      </c>
      <c r="W11" s="234" t="s">
        <v>1365</v>
      </c>
      <c r="X11" s="213">
        <f>C12</f>
        <v>8.15</v>
      </c>
      <c r="Y11" s="283">
        <f t="shared" si="3"/>
        <v>11</v>
      </c>
      <c r="Z11" s="213">
        <f>D12</f>
        <v>8.5500000000000007</v>
      </c>
      <c r="AA11" s="236">
        <f t="shared" si="0"/>
        <v>9.0000000000000018</v>
      </c>
      <c r="AB11" s="217">
        <f>Table351213142441[[#This Row],[Floor]]+Table351213142441[[#This Row],[Vault]]</f>
        <v>16.700000000000003</v>
      </c>
      <c r="AC11" s="353">
        <f t="shared" si="1"/>
        <v>14</v>
      </c>
    </row>
    <row r="12" spans="1:70">
      <c r="A12" s="149">
        <v>415</v>
      </c>
      <c r="B12" s="234" t="s">
        <v>1365</v>
      </c>
      <c r="C12" s="13">
        <v>8.15</v>
      </c>
      <c r="D12" s="13">
        <v>8.5500000000000007</v>
      </c>
      <c r="E12" s="13">
        <f t="shared" si="5"/>
        <v>16.700000000000003</v>
      </c>
      <c r="G12" s="149">
        <v>421</v>
      </c>
      <c r="H12" s="93" t="s">
        <v>700</v>
      </c>
      <c r="I12" s="13">
        <v>7.25</v>
      </c>
      <c r="J12" s="13">
        <v>8.65</v>
      </c>
      <c r="K12" s="13">
        <f t="shared" si="6"/>
        <v>15.9</v>
      </c>
      <c r="M12" s="149">
        <v>427</v>
      </c>
      <c r="N12" s="93" t="s">
        <v>1034</v>
      </c>
      <c r="O12" s="13">
        <v>8.75</v>
      </c>
      <c r="P12" s="13">
        <v>8.6</v>
      </c>
      <c r="Q12" s="13">
        <f t="shared" si="7"/>
        <v>17.350000000000001</v>
      </c>
      <c r="R12" s="1"/>
      <c r="U12" s="33" t="s">
        <v>81</v>
      </c>
      <c r="V12" s="149">
        <v>417</v>
      </c>
      <c r="W12" s="93" t="s">
        <v>696</v>
      </c>
      <c r="X12" s="213">
        <f>I8</f>
        <v>8.9</v>
      </c>
      <c r="Y12" s="283">
        <f t="shared" si="3"/>
        <v>2</v>
      </c>
      <c r="Z12" s="213">
        <f>J8</f>
        <v>9.35</v>
      </c>
      <c r="AA12" s="283">
        <f t="shared" si="0"/>
        <v>1</v>
      </c>
      <c r="AB12" s="217">
        <f>Table351213142441[[#This Row],[Floor]]+Table351213142441[[#This Row],[Vault]]</f>
        <v>18.25</v>
      </c>
      <c r="AC12" s="283">
        <f t="shared" si="1"/>
        <v>1</v>
      </c>
    </row>
    <row r="13" spans="1:70" ht="16.5" thickBot="1">
      <c r="A13" s="149">
        <v>416</v>
      </c>
      <c r="B13" s="97"/>
      <c r="C13" s="13">
        <v>0</v>
      </c>
      <c r="D13" s="13">
        <v>0</v>
      </c>
      <c r="E13" s="13">
        <f t="shared" si="5"/>
        <v>0</v>
      </c>
      <c r="F13" s="8"/>
      <c r="G13" s="149">
        <v>422</v>
      </c>
      <c r="H13" s="93" t="s">
        <v>701</v>
      </c>
      <c r="I13" s="13">
        <v>8.1</v>
      </c>
      <c r="J13" s="13">
        <v>8.75</v>
      </c>
      <c r="K13" s="13">
        <f t="shared" si="6"/>
        <v>16.850000000000001</v>
      </c>
      <c r="L13" s="8"/>
      <c r="M13" s="149">
        <v>428</v>
      </c>
      <c r="N13" s="97"/>
      <c r="O13" s="13">
        <v>0</v>
      </c>
      <c r="P13" s="13">
        <v>0</v>
      </c>
      <c r="Q13" s="13">
        <f t="shared" si="7"/>
        <v>0</v>
      </c>
      <c r="U13" s="33" t="s">
        <v>81</v>
      </c>
      <c r="V13" s="149">
        <v>418</v>
      </c>
      <c r="W13" s="93" t="s">
        <v>697</v>
      </c>
      <c r="X13" s="213">
        <f t="shared" ref="X13:X17" si="8">I9</f>
        <v>8.5</v>
      </c>
      <c r="Y13" s="283">
        <f t="shared" si="3"/>
        <v>7</v>
      </c>
      <c r="Z13" s="213">
        <f t="shared" ref="Z13" si="9">J9</f>
        <v>8.4</v>
      </c>
      <c r="AA13" s="283">
        <f t="shared" si="0"/>
        <v>11.999999999999998</v>
      </c>
      <c r="AB13" s="217">
        <f>Table351213142441[[#This Row],[Floor]]+Table351213142441[[#This Row],[Vault]]</f>
        <v>16.899999999999999</v>
      </c>
      <c r="AC13" s="283">
        <f t="shared" si="1"/>
        <v>10</v>
      </c>
    </row>
    <row r="14" spans="1:70" ht="16.5" thickBot="1">
      <c r="B14" s="25" t="s">
        <v>10</v>
      </c>
      <c r="C14" s="19">
        <f>SUM(C8:C13)-SMALL(C8:C13,1)-SMALL(C8:C13,2)</f>
        <v>32.9</v>
      </c>
      <c r="D14" s="19">
        <f>SUM(D8:D13)-SMALL(D8:D13,1)-SMALL(D8:D13,2)</f>
        <v>34.900000000000006</v>
      </c>
      <c r="E14" s="20">
        <f>SUM(C14:D14)</f>
        <v>67.800000000000011</v>
      </c>
      <c r="F14" s="8"/>
      <c r="H14" s="25" t="s">
        <v>10</v>
      </c>
      <c r="I14" s="19">
        <f>SUM(I8:I13)-SMALL(I8:I13,1)-SMALL(I8:I13,2)</f>
        <v>33.4</v>
      </c>
      <c r="J14" s="19">
        <f>SUM(J8:J13)-SMALL(J8:J13,1)-SMALL(J8:J13,2)</f>
        <v>35.449999999999996</v>
      </c>
      <c r="K14" s="20">
        <f>SUM(I14:J14)</f>
        <v>68.849999999999994</v>
      </c>
      <c r="L14" s="8"/>
      <c r="N14" s="25" t="s">
        <v>10</v>
      </c>
      <c r="O14" s="19">
        <f>SUM(O8:O13)-SMALL(O8:O13,1)-SMALL(O8:O13,2)</f>
        <v>34.9</v>
      </c>
      <c r="P14" s="19">
        <f>SUM(P8:P13)-SMALL(P8:P13,1)-SMALL(P8:P13,2)</f>
        <v>35.299999999999997</v>
      </c>
      <c r="Q14" s="20">
        <f>SUM(O14:P14)</f>
        <v>70.199999999999989</v>
      </c>
      <c r="U14" s="33" t="s">
        <v>81</v>
      </c>
      <c r="V14" s="149">
        <v>419</v>
      </c>
      <c r="W14" s="93" t="s">
        <v>698</v>
      </c>
      <c r="X14" s="213">
        <f t="shared" si="8"/>
        <v>7.9</v>
      </c>
      <c r="Y14" s="283">
        <f t="shared" si="3"/>
        <v>14</v>
      </c>
      <c r="Z14" s="213">
        <f>J10</f>
        <v>8.6999999999999993</v>
      </c>
      <c r="AA14" s="283">
        <f t="shared" si="0"/>
        <v>6</v>
      </c>
      <c r="AB14" s="217">
        <f>Table351213142441[[#This Row],[Floor]]+Table351213142441[[#This Row],[Vault]]</f>
        <v>16.600000000000001</v>
      </c>
      <c r="AC14" s="283">
        <f t="shared" si="1"/>
        <v>15</v>
      </c>
    </row>
    <row r="15" spans="1:70">
      <c r="B15" s="94" t="s">
        <v>37</v>
      </c>
      <c r="D15" s="25"/>
      <c r="E15" s="26"/>
      <c r="H15" s="94" t="s">
        <v>37</v>
      </c>
      <c r="J15" s="25"/>
      <c r="K15" s="26"/>
      <c r="N15" s="94" t="s">
        <v>37</v>
      </c>
      <c r="P15" s="25"/>
      <c r="Q15" s="26"/>
      <c r="R15" s="1"/>
      <c r="U15" s="33" t="s">
        <v>81</v>
      </c>
      <c r="V15" s="149">
        <v>420</v>
      </c>
      <c r="W15" s="93" t="s">
        <v>699</v>
      </c>
      <c r="X15" s="213">
        <f>I11</f>
        <v>7.6</v>
      </c>
      <c r="Y15" s="283">
        <f t="shared" si="3"/>
        <v>17</v>
      </c>
      <c r="Z15" s="213">
        <f>J11</f>
        <v>8.6</v>
      </c>
      <c r="AA15" s="283">
        <f t="shared" si="0"/>
        <v>8</v>
      </c>
      <c r="AB15" s="217">
        <f>Table351213142441[[#This Row],[Floor]]+Table351213142441[[#This Row],[Vault]]</f>
        <v>16.2</v>
      </c>
      <c r="AC15" s="283">
        <f t="shared" si="1"/>
        <v>17</v>
      </c>
    </row>
    <row r="16" spans="1:70">
      <c r="Q16" s="1"/>
      <c r="R16" s="1"/>
      <c r="U16" s="33" t="s">
        <v>81</v>
      </c>
      <c r="V16" s="149">
        <v>421</v>
      </c>
      <c r="W16" s="93" t="s">
        <v>700</v>
      </c>
      <c r="X16" s="213">
        <f>I12</f>
        <v>7.25</v>
      </c>
      <c r="Y16" s="283">
        <f t="shared" si="3"/>
        <v>18</v>
      </c>
      <c r="Z16" s="213">
        <f>J12</f>
        <v>8.65</v>
      </c>
      <c r="AA16" s="283">
        <f t="shared" si="0"/>
        <v>7</v>
      </c>
      <c r="AB16" s="217">
        <f>Table351213142441[[#This Row],[Floor]]+Table351213142441[[#This Row],[Vault]]</f>
        <v>15.9</v>
      </c>
      <c r="AC16" s="283">
        <f t="shared" si="1"/>
        <v>19</v>
      </c>
    </row>
    <row r="17" spans="1:29">
      <c r="A17" s="146" t="s">
        <v>560</v>
      </c>
      <c r="B17" s="223"/>
      <c r="C17" s="223"/>
      <c r="D17" s="223"/>
      <c r="E17" s="224"/>
      <c r="F17" s="106"/>
      <c r="G17" s="146" t="s">
        <v>416</v>
      </c>
      <c r="H17" s="271"/>
      <c r="I17" s="271"/>
      <c r="J17" s="271"/>
      <c r="K17" s="272"/>
      <c r="M17" s="137"/>
      <c r="N17" s="39" t="s">
        <v>12</v>
      </c>
      <c r="O17" s="43" t="s">
        <v>5</v>
      </c>
      <c r="P17" s="44" t="s">
        <v>11</v>
      </c>
      <c r="Q17" s="239"/>
      <c r="R17" s="118"/>
      <c r="S17" s="1"/>
      <c r="U17" s="33" t="s">
        <v>81</v>
      </c>
      <c r="V17" s="149">
        <v>422</v>
      </c>
      <c r="W17" s="93" t="s">
        <v>701</v>
      </c>
      <c r="X17" s="213">
        <f t="shared" si="8"/>
        <v>8.1</v>
      </c>
      <c r="Y17" s="283">
        <f t="shared" si="3"/>
        <v>12</v>
      </c>
      <c r="Z17" s="213">
        <f>J13</f>
        <v>8.75</v>
      </c>
      <c r="AA17" s="283">
        <f t="shared" si="0"/>
        <v>5</v>
      </c>
      <c r="AB17" s="217">
        <f>Table351213142441[[#This Row],[Floor]]+Table351213142441[[#This Row],[Vault]]</f>
        <v>16.850000000000001</v>
      </c>
      <c r="AC17" s="283">
        <f t="shared" si="1"/>
        <v>11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1"/>
      <c r="G18" s="265" t="s">
        <v>1</v>
      </c>
      <c r="H18" s="265" t="s">
        <v>2</v>
      </c>
      <c r="I18" s="265" t="s">
        <v>3</v>
      </c>
      <c r="J18" s="265" t="s">
        <v>4</v>
      </c>
      <c r="K18" s="265" t="s">
        <v>5</v>
      </c>
      <c r="M18" s="111"/>
      <c r="N18" s="45" t="s">
        <v>1271</v>
      </c>
      <c r="O18" s="47">
        <f>E14</f>
        <v>67.800000000000011</v>
      </c>
      <c r="P18" s="40">
        <f>SUMPRODUCT((O$18:O$22&gt;O18)/COUNTIF(O$18:O$22,O$18:O$22&amp;""))+1</f>
        <v>3</v>
      </c>
      <c r="Q18" s="111"/>
      <c r="R18" s="1"/>
      <c r="U18" s="33" t="s">
        <v>391</v>
      </c>
      <c r="V18" s="149">
        <v>423</v>
      </c>
      <c r="W18" s="93" t="s">
        <v>1032</v>
      </c>
      <c r="X18" s="213">
        <f>O8</f>
        <v>8.4</v>
      </c>
      <c r="Y18" s="283">
        <f t="shared" si="3"/>
        <v>9</v>
      </c>
      <c r="Z18" s="213">
        <f>P8</f>
        <v>8.85</v>
      </c>
      <c r="AA18" s="283">
        <f t="shared" si="0"/>
        <v>4</v>
      </c>
      <c r="AB18" s="217">
        <f>Table351213142441[[#This Row],[Floor]]+Table351213142441[[#This Row],[Vault]]</f>
        <v>17.25</v>
      </c>
      <c r="AC18" s="283">
        <f t="shared" si="1"/>
        <v>6</v>
      </c>
    </row>
    <row r="19" spans="1:29">
      <c r="A19" s="149">
        <v>429</v>
      </c>
      <c r="B19" s="93" t="s">
        <v>474</v>
      </c>
      <c r="C19" s="13">
        <v>0</v>
      </c>
      <c r="D19" s="13">
        <v>8.5500000000000007</v>
      </c>
      <c r="E19" s="13">
        <f>SUM(C19,D19)</f>
        <v>8.5500000000000007</v>
      </c>
      <c r="F19" s="1"/>
      <c r="G19" s="149">
        <v>1265</v>
      </c>
      <c r="H19" s="279" t="s">
        <v>1340</v>
      </c>
      <c r="I19" s="13">
        <v>8</v>
      </c>
      <c r="J19" s="13">
        <v>8.4499999999999993</v>
      </c>
      <c r="K19" s="13">
        <f>SUM(I19,J19)</f>
        <v>16.45</v>
      </c>
      <c r="M19" s="102"/>
      <c r="N19" s="45" t="s">
        <v>107</v>
      </c>
      <c r="O19" s="47">
        <f>K14</f>
        <v>68.849999999999994</v>
      </c>
      <c r="P19" s="40">
        <f>SUMPRODUCT((O$18:O$22&gt;O19)/COUNTIF(O$18:O$22,O$18:O$22&amp;""))+1</f>
        <v>2</v>
      </c>
      <c r="Q19" s="73"/>
      <c r="R19" s="1"/>
      <c r="U19" s="33" t="s">
        <v>391</v>
      </c>
      <c r="V19" s="149">
        <v>424</v>
      </c>
      <c r="W19" s="93" t="s">
        <v>438</v>
      </c>
      <c r="X19" s="213">
        <f t="shared" ref="X19:X22" si="10">O9</f>
        <v>8.85</v>
      </c>
      <c r="Y19" s="283">
        <f t="shared" si="3"/>
        <v>3</v>
      </c>
      <c r="Z19" s="213">
        <f t="shared" ref="Z19:Z22" si="11">P9</f>
        <v>9.1</v>
      </c>
      <c r="AA19" s="283">
        <f t="shared" si="0"/>
        <v>2</v>
      </c>
      <c r="AB19" s="217">
        <f>Table351213142441[[#This Row],[Floor]]+Table351213142441[[#This Row],[Vault]]</f>
        <v>17.95</v>
      </c>
      <c r="AC19" s="283">
        <f t="shared" si="1"/>
        <v>2</v>
      </c>
    </row>
    <row r="20" spans="1:29">
      <c r="A20" s="149">
        <v>430</v>
      </c>
      <c r="B20" s="93" t="s">
        <v>1170</v>
      </c>
      <c r="C20" s="13">
        <v>0</v>
      </c>
      <c r="D20" s="13">
        <v>7.55</v>
      </c>
      <c r="E20" s="13">
        <f t="shared" ref="E20:E24" si="12">SUM(C20,D20)</f>
        <v>7.55</v>
      </c>
      <c r="F20" s="1"/>
      <c r="G20" s="149">
        <v>1266</v>
      </c>
      <c r="H20" s="280" t="s">
        <v>1341</v>
      </c>
      <c r="I20" s="13">
        <v>8.15</v>
      </c>
      <c r="J20" s="13">
        <v>8.6</v>
      </c>
      <c r="K20" s="13">
        <f t="shared" ref="K20:K24" si="13">SUM(I20,J20)</f>
        <v>16.75</v>
      </c>
      <c r="L20" s="1"/>
      <c r="M20" s="102"/>
      <c r="N20" s="54" t="s">
        <v>1343</v>
      </c>
      <c r="O20" s="73">
        <f>Q14</f>
        <v>70.199999999999989</v>
      </c>
      <c r="P20" s="40">
        <f>SUMPRODUCT((O$18:O$22&gt;O20)/COUNTIF(O$18:O$22,O$18:O$22&amp;""))+1</f>
        <v>1</v>
      </c>
      <c r="Q20" s="73"/>
      <c r="R20" s="1"/>
      <c r="U20" s="33" t="s">
        <v>391</v>
      </c>
      <c r="V20" s="149">
        <v>425</v>
      </c>
      <c r="W20" s="93" t="s">
        <v>444</v>
      </c>
      <c r="X20" s="213">
        <f>O10</f>
        <v>8.4</v>
      </c>
      <c r="Y20" s="283">
        <f t="shared" si="3"/>
        <v>9</v>
      </c>
      <c r="Z20" s="213">
        <f>P10</f>
        <v>8.65</v>
      </c>
      <c r="AA20" s="283">
        <f t="shared" si="0"/>
        <v>7</v>
      </c>
      <c r="AB20" s="217">
        <f>Table351213142441[[#This Row],[Floor]]+Table351213142441[[#This Row],[Vault]]</f>
        <v>17.05</v>
      </c>
      <c r="AC20" s="283">
        <f t="shared" si="1"/>
        <v>8</v>
      </c>
    </row>
    <row r="21" spans="1:29">
      <c r="A21" s="149">
        <v>431</v>
      </c>
      <c r="B21" s="93" t="s">
        <v>1171</v>
      </c>
      <c r="C21" s="13">
        <v>8.6999999999999993</v>
      </c>
      <c r="D21" s="13">
        <v>8.6</v>
      </c>
      <c r="E21" s="13">
        <f t="shared" si="12"/>
        <v>17.299999999999997</v>
      </c>
      <c r="F21" s="1"/>
      <c r="G21" s="149">
        <v>1267</v>
      </c>
      <c r="H21" s="179" t="s">
        <v>443</v>
      </c>
      <c r="I21" s="13">
        <v>8.1</v>
      </c>
      <c r="J21" s="13">
        <v>8.5</v>
      </c>
      <c r="K21" s="13">
        <f t="shared" si="13"/>
        <v>16.600000000000001</v>
      </c>
      <c r="L21" s="1"/>
      <c r="M21" s="102"/>
      <c r="N21" s="45" t="s">
        <v>560</v>
      </c>
      <c r="O21" s="46">
        <f>E25</f>
        <v>59.600000000000009</v>
      </c>
      <c r="P21" s="40">
        <f>SUMPRODUCT((O$18:O$22&gt;O21)/COUNTIF(O$18:O$22,O$18:O$22&amp;""))+1</f>
        <v>5</v>
      </c>
      <c r="Q21" s="73"/>
      <c r="U21" s="33" t="s">
        <v>391</v>
      </c>
      <c r="V21" s="149">
        <v>426</v>
      </c>
      <c r="W21" s="93" t="s">
        <v>1033</v>
      </c>
      <c r="X21" s="213">
        <f>O11</f>
        <v>8.9</v>
      </c>
      <c r="Y21" s="283">
        <f t="shared" si="3"/>
        <v>2</v>
      </c>
      <c r="Z21" s="213">
        <f>P11</f>
        <v>8.6999999999999993</v>
      </c>
      <c r="AA21" s="283">
        <f t="shared" si="0"/>
        <v>6</v>
      </c>
      <c r="AB21" s="217">
        <f>Table351213142441[[#This Row],[Floor]]+Table351213142441[[#This Row],[Vault]]</f>
        <v>17.600000000000001</v>
      </c>
      <c r="AC21" s="283">
        <f t="shared" si="1"/>
        <v>3</v>
      </c>
    </row>
    <row r="22" spans="1:29">
      <c r="A22" s="149">
        <v>432</v>
      </c>
      <c r="B22" s="93" t="s">
        <v>1172</v>
      </c>
      <c r="C22" s="13">
        <v>8.4499999999999993</v>
      </c>
      <c r="D22" s="13">
        <v>8.5</v>
      </c>
      <c r="E22" s="13">
        <f t="shared" si="12"/>
        <v>16.95</v>
      </c>
      <c r="F22" s="1"/>
      <c r="G22" s="149">
        <v>1268</v>
      </c>
      <c r="H22" s="278" t="s">
        <v>1342</v>
      </c>
      <c r="I22" s="13">
        <v>7.8</v>
      </c>
      <c r="J22" s="13">
        <v>8.15</v>
      </c>
      <c r="K22" s="13">
        <f t="shared" si="13"/>
        <v>15.95</v>
      </c>
      <c r="L22" s="1"/>
      <c r="M22" s="102"/>
      <c r="N22" s="54" t="s">
        <v>1344</v>
      </c>
      <c r="O22" s="46">
        <f>K25</f>
        <v>65.75</v>
      </c>
      <c r="P22" s="40">
        <f>SUMPRODUCT((O$18:O$22&gt;O22)/COUNTIF(O$18:O$22,O$18:O$22&amp;""))+1</f>
        <v>4</v>
      </c>
      <c r="Q22" s="73"/>
      <c r="U22" s="33" t="s">
        <v>391</v>
      </c>
      <c r="V22" s="149">
        <v>427</v>
      </c>
      <c r="W22" s="93" t="s">
        <v>1034</v>
      </c>
      <c r="X22" s="213">
        <f t="shared" si="10"/>
        <v>8.75</v>
      </c>
      <c r="Y22" s="283">
        <f t="shared" si="3"/>
        <v>4</v>
      </c>
      <c r="Z22" s="213">
        <f t="shared" si="11"/>
        <v>8.6</v>
      </c>
      <c r="AA22" s="283">
        <f t="shared" si="0"/>
        <v>8</v>
      </c>
      <c r="AB22" s="217">
        <f>Table351213142441[[#This Row],[Floor]]+Table351213142441[[#This Row],[Vault]]</f>
        <v>17.350000000000001</v>
      </c>
      <c r="AC22" s="283">
        <f t="shared" si="1"/>
        <v>4</v>
      </c>
    </row>
    <row r="23" spans="1:29">
      <c r="A23" s="149">
        <v>433</v>
      </c>
      <c r="B23" s="93" t="s">
        <v>1173</v>
      </c>
      <c r="C23" s="13">
        <v>8.3000000000000007</v>
      </c>
      <c r="D23" s="13">
        <v>8.5</v>
      </c>
      <c r="E23" s="13">
        <f t="shared" si="12"/>
        <v>16.8</v>
      </c>
      <c r="F23" s="1"/>
      <c r="G23" s="149">
        <v>1269</v>
      </c>
      <c r="H23" s="97"/>
      <c r="I23" s="13">
        <v>0</v>
      </c>
      <c r="J23" s="13">
        <v>0</v>
      </c>
      <c r="K23" s="13">
        <f t="shared" si="13"/>
        <v>0</v>
      </c>
      <c r="L23" s="1"/>
      <c r="M23" s="102"/>
      <c r="N23" s="253"/>
      <c r="O23" s="46"/>
      <c r="P23" s="40"/>
      <c r="Q23" s="73"/>
      <c r="U23" s="33" t="s">
        <v>87</v>
      </c>
      <c r="V23" s="149">
        <v>429</v>
      </c>
      <c r="W23" s="237" t="s">
        <v>474</v>
      </c>
      <c r="X23" s="213">
        <f>C19</f>
        <v>0</v>
      </c>
      <c r="Y23" s="283">
        <f t="shared" si="3"/>
        <v>19</v>
      </c>
      <c r="Z23" s="213">
        <f>D19</f>
        <v>8.5500000000000007</v>
      </c>
      <c r="AA23" s="283">
        <f t="shared" si="0"/>
        <v>9.0000000000000018</v>
      </c>
      <c r="AB23" s="217">
        <f>Table351213142441[[#This Row],[Floor]]+Table351213142441[[#This Row],[Vault]]</f>
        <v>8.5500000000000007</v>
      </c>
      <c r="AC23" s="283">
        <f t="shared" si="1"/>
        <v>20</v>
      </c>
    </row>
    <row r="24" spans="1:29" ht="16.5" thickBot="1">
      <c r="A24" s="149">
        <v>434</v>
      </c>
      <c r="B24" s="97"/>
      <c r="C24" s="13">
        <v>0</v>
      </c>
      <c r="D24" s="13">
        <v>0</v>
      </c>
      <c r="E24" s="13">
        <f t="shared" si="12"/>
        <v>0</v>
      </c>
      <c r="F24" s="1"/>
      <c r="G24" s="149">
        <v>1270</v>
      </c>
      <c r="H24" s="97"/>
      <c r="I24" s="13">
        <v>0</v>
      </c>
      <c r="J24" s="13">
        <v>0</v>
      </c>
      <c r="K24" s="13">
        <f t="shared" si="13"/>
        <v>0</v>
      </c>
      <c r="L24" s="1"/>
      <c r="M24" s="102"/>
      <c r="N24" s="110"/>
      <c r="O24" s="73"/>
      <c r="P24" s="73"/>
      <c r="Q24" s="68"/>
      <c r="U24" s="33" t="s">
        <v>87</v>
      </c>
      <c r="V24" s="149">
        <v>430</v>
      </c>
      <c r="W24" s="237" t="s">
        <v>1170</v>
      </c>
      <c r="X24" s="213">
        <f t="shared" ref="X24:X25" si="14">C20</f>
        <v>0</v>
      </c>
      <c r="Y24" s="283">
        <f t="shared" si="3"/>
        <v>19</v>
      </c>
      <c r="Z24" s="213">
        <f>D20</f>
        <v>7.55</v>
      </c>
      <c r="AA24" s="283">
        <f t="shared" si="0"/>
        <v>13.999999999999998</v>
      </c>
      <c r="AB24" s="217">
        <f>Table351213142441[[#This Row],[Floor]]+Table351213142441[[#This Row],[Vault]]</f>
        <v>7.55</v>
      </c>
      <c r="AC24" s="283">
        <f t="shared" si="1"/>
        <v>21</v>
      </c>
    </row>
    <row r="25" spans="1:29" ht="16.5" thickBot="1">
      <c r="B25" s="25" t="s">
        <v>10</v>
      </c>
      <c r="C25" s="19">
        <f>SUM(C19:C24)-SMALL(C19:C24,1)-SMALL(C19:C24,2)</f>
        <v>25.45</v>
      </c>
      <c r="D25" s="19">
        <f>SUM(D19:D24)-SMALL(D19:D24,1)-SMALL(D19:D24,2)</f>
        <v>34.150000000000006</v>
      </c>
      <c r="E25" s="20">
        <f>SUM(C25:D25)</f>
        <v>59.600000000000009</v>
      </c>
      <c r="F25" s="1"/>
      <c r="H25" s="25" t="s">
        <v>10</v>
      </c>
      <c r="I25" s="19">
        <f>SUM(I19:I24)-SMALL(I19:I24,1)-SMALL(I19:I24,2)</f>
        <v>32.049999999999997</v>
      </c>
      <c r="J25" s="19">
        <f>SUM(J19:J24)-SMALL(J19:J24,1)-SMALL(J19:J24,2)</f>
        <v>33.699999999999996</v>
      </c>
      <c r="K25" s="20">
        <f>SUM(I25:J25)</f>
        <v>65.75</v>
      </c>
      <c r="L25" s="1"/>
      <c r="M25" s="1"/>
      <c r="N25" s="110"/>
      <c r="O25" s="73"/>
      <c r="P25" s="73"/>
      <c r="Q25" s="105"/>
      <c r="U25" s="33" t="s">
        <v>87</v>
      </c>
      <c r="V25" s="149">
        <v>431</v>
      </c>
      <c r="W25" s="237" t="s">
        <v>1171</v>
      </c>
      <c r="X25" s="213">
        <f t="shared" si="14"/>
        <v>8.6999999999999993</v>
      </c>
      <c r="Y25" s="283">
        <f t="shared" si="3"/>
        <v>5</v>
      </c>
      <c r="Z25" s="213">
        <f t="shared" ref="Z25:Z27" si="15">D21</f>
        <v>8.6</v>
      </c>
      <c r="AA25" s="283">
        <f t="shared" si="0"/>
        <v>8</v>
      </c>
      <c r="AB25" s="217">
        <f>Table351213142441[[#This Row],[Floor]]+Table351213142441[[#This Row],[Vault]]</f>
        <v>17.299999999999997</v>
      </c>
      <c r="AC25" s="283">
        <f t="shared" si="1"/>
        <v>5</v>
      </c>
    </row>
    <row r="26" spans="1:29">
      <c r="B26" s="94" t="s">
        <v>37</v>
      </c>
      <c r="D26" s="25"/>
      <c r="E26" s="26"/>
      <c r="F26" s="1"/>
      <c r="H26" s="94" t="s">
        <v>37</v>
      </c>
      <c r="J26" s="25"/>
      <c r="K26" s="26"/>
      <c r="L26" s="1"/>
      <c r="M26" s="1"/>
      <c r="N26" s="110"/>
      <c r="O26" s="73"/>
      <c r="P26" s="73"/>
      <c r="Q26" s="1"/>
      <c r="U26" s="33" t="s">
        <v>87</v>
      </c>
      <c r="V26" s="149">
        <v>432</v>
      </c>
      <c r="W26" s="237" t="s">
        <v>1172</v>
      </c>
      <c r="X26" s="213">
        <f>C22</f>
        <v>8.4499999999999993</v>
      </c>
      <c r="Y26" s="283">
        <f t="shared" si="3"/>
        <v>8</v>
      </c>
      <c r="Z26" s="213">
        <f>D22</f>
        <v>8.5</v>
      </c>
      <c r="AA26" s="283">
        <f t="shared" si="0"/>
        <v>9.9999999999999982</v>
      </c>
      <c r="AB26" s="217">
        <f>Table351213142441[[#This Row],[Floor]]+Table351213142441[[#This Row],[Vault]]</f>
        <v>16.95</v>
      </c>
      <c r="AC26" s="283">
        <f t="shared" si="1"/>
        <v>9</v>
      </c>
    </row>
    <row r="27" spans="1:29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10"/>
      <c r="O27" s="73"/>
      <c r="P27" s="73"/>
      <c r="Q27" s="1"/>
      <c r="U27" s="33" t="s">
        <v>87</v>
      </c>
      <c r="V27" s="149">
        <v>433</v>
      </c>
      <c r="W27" s="238" t="s">
        <v>1173</v>
      </c>
      <c r="X27" s="213">
        <f>C23</f>
        <v>8.3000000000000007</v>
      </c>
      <c r="Y27" s="283">
        <f t="shared" si="3"/>
        <v>10</v>
      </c>
      <c r="Z27" s="213">
        <f t="shared" si="15"/>
        <v>8.5</v>
      </c>
      <c r="AA27" s="283">
        <f t="shared" si="0"/>
        <v>9.9999999999999982</v>
      </c>
      <c r="AB27" s="217">
        <f>Table351213142441[[#This Row],[Floor]]+Table351213142441[[#This Row],[Vault]]</f>
        <v>16.8</v>
      </c>
      <c r="AC27" s="283">
        <f t="shared" si="1"/>
        <v>12</v>
      </c>
    </row>
    <row r="28" spans="1:29">
      <c r="A28" s="137"/>
      <c r="B28" s="137"/>
      <c r="C28" s="137"/>
      <c r="D28" s="137"/>
      <c r="E28" s="137"/>
      <c r="F28" s="1"/>
      <c r="G28" s="137"/>
      <c r="I28" s="137"/>
      <c r="J28" s="137"/>
      <c r="K28" s="137"/>
      <c r="L28" s="1"/>
      <c r="M28" s="137"/>
      <c r="N28" s="103"/>
      <c r="O28" s="73"/>
      <c r="P28" s="73"/>
      <c r="Q28" s="137"/>
      <c r="U28" s="33" t="s">
        <v>391</v>
      </c>
      <c r="V28" s="149">
        <v>1265</v>
      </c>
      <c r="W28" s="277" t="s">
        <v>1340</v>
      </c>
      <c r="X28" s="213">
        <f>I19</f>
        <v>8</v>
      </c>
      <c r="Y28" s="283">
        <f t="shared" si="3"/>
        <v>13</v>
      </c>
      <c r="Z28" s="213">
        <f>J19</f>
        <v>8.4499999999999993</v>
      </c>
      <c r="AA28" s="283">
        <f t="shared" si="0"/>
        <v>10.999999999999998</v>
      </c>
      <c r="AB28" s="217">
        <f>Table351213142441[[#This Row],[Floor]]+Table351213142441[[#This Row],[Vault]]</f>
        <v>16.45</v>
      </c>
      <c r="AC28" s="283">
        <f t="shared" si="1"/>
        <v>16</v>
      </c>
    </row>
    <row r="29" spans="1:29">
      <c r="A29" s="111"/>
      <c r="B29" s="111"/>
      <c r="C29" s="111"/>
      <c r="D29" s="111"/>
      <c r="E29" s="111"/>
      <c r="F29" s="1"/>
      <c r="G29" s="111"/>
      <c r="I29" s="111"/>
      <c r="J29" s="111"/>
      <c r="K29" s="111"/>
      <c r="L29" s="1"/>
      <c r="M29" s="111"/>
      <c r="N29" s="104"/>
      <c r="O29" s="64"/>
      <c r="P29" s="64"/>
      <c r="Q29" s="111"/>
      <c r="U29" s="33" t="s">
        <v>391</v>
      </c>
      <c r="V29" s="149">
        <v>1266</v>
      </c>
      <c r="W29" s="277" t="s">
        <v>1341</v>
      </c>
      <c r="X29" s="213">
        <f>I20</f>
        <v>8.15</v>
      </c>
      <c r="Y29" s="283">
        <f t="shared" si="3"/>
        <v>11</v>
      </c>
      <c r="Z29" s="213">
        <f>J20</f>
        <v>8.6</v>
      </c>
      <c r="AA29" s="283">
        <f t="shared" si="0"/>
        <v>8</v>
      </c>
      <c r="AB29" s="217">
        <f>Table351213142441[[#This Row],[Floor]]+Table351213142441[[#This Row],[Vault]]</f>
        <v>16.75</v>
      </c>
      <c r="AC29" s="283">
        <f t="shared" si="1"/>
        <v>13</v>
      </c>
    </row>
    <row r="30" spans="1:29">
      <c r="A30" s="102"/>
      <c r="B30" s="110"/>
      <c r="C30" s="73"/>
      <c r="D30" s="73"/>
      <c r="E30" s="73"/>
      <c r="F30" s="1"/>
      <c r="G30" s="102"/>
      <c r="I30" s="73"/>
      <c r="J30" s="73"/>
      <c r="K30" s="73"/>
      <c r="L30" s="1"/>
      <c r="M30" s="102"/>
      <c r="N30" s="121"/>
      <c r="O30" s="1"/>
      <c r="P30" s="1"/>
      <c r="Q30" s="73"/>
      <c r="U30" s="33" t="s">
        <v>391</v>
      </c>
      <c r="V30" s="149">
        <v>1267</v>
      </c>
      <c r="W30" s="277" t="s">
        <v>443</v>
      </c>
      <c r="X30" s="213">
        <f>I21</f>
        <v>8.1</v>
      </c>
      <c r="Y30" s="283">
        <f t="shared" si="3"/>
        <v>12</v>
      </c>
      <c r="Z30" s="213">
        <f>J21</f>
        <v>8.5</v>
      </c>
      <c r="AA30" s="283">
        <f t="shared" si="0"/>
        <v>9.9999999999999982</v>
      </c>
      <c r="AB30" s="217">
        <f>Table351213142441[[#This Row],[Floor]]+Table351213142441[[#This Row],[Vault]]</f>
        <v>16.600000000000001</v>
      </c>
      <c r="AC30" s="283">
        <f t="shared" si="1"/>
        <v>15</v>
      </c>
    </row>
    <row r="31" spans="1:29">
      <c r="A31" s="102"/>
      <c r="B31" s="110"/>
      <c r="C31" s="73"/>
      <c r="D31" s="73"/>
      <c r="E31" s="73"/>
      <c r="F31" s="1"/>
      <c r="G31" s="102"/>
      <c r="H31" s="110"/>
      <c r="I31" s="73"/>
      <c r="J31" s="73"/>
      <c r="K31" s="73"/>
      <c r="L31" s="1"/>
      <c r="M31" s="102"/>
      <c r="Q31" s="73"/>
      <c r="U31" s="33" t="s">
        <v>391</v>
      </c>
      <c r="V31" s="149">
        <v>1268</v>
      </c>
      <c r="W31" s="269" t="s">
        <v>1342</v>
      </c>
      <c r="X31" s="213">
        <f>I22</f>
        <v>7.8</v>
      </c>
      <c r="Y31" s="283">
        <f t="shared" si="3"/>
        <v>16</v>
      </c>
      <c r="Z31" s="213">
        <f>J22</f>
        <v>8.15</v>
      </c>
      <c r="AA31" s="283">
        <f t="shared" si="0"/>
        <v>12.999999999999998</v>
      </c>
      <c r="AB31" s="217">
        <f>Table351213142441[[#This Row],[Floor]]+Table351213142441[[#This Row],[Vault]]</f>
        <v>15.95</v>
      </c>
      <c r="AC31" s="283">
        <f t="shared" si="1"/>
        <v>18</v>
      </c>
    </row>
    <row r="32" spans="1:29">
      <c r="A32" s="102"/>
      <c r="B32" s="110"/>
      <c r="C32" s="73"/>
      <c r="D32" s="73"/>
      <c r="E32" s="73"/>
      <c r="F32" s="1"/>
      <c r="G32" s="102"/>
      <c r="H32" s="110"/>
      <c r="I32" s="73"/>
      <c r="J32" s="73"/>
      <c r="K32" s="73"/>
      <c r="L32" s="1"/>
      <c r="M32" s="102"/>
      <c r="Q32" s="73"/>
      <c r="U32" s="287" t="s">
        <v>1227</v>
      </c>
      <c r="V32" s="293">
        <v>525</v>
      </c>
      <c r="W32" s="345" t="s">
        <v>1249</v>
      </c>
      <c r="X32" s="316">
        <f>'INT 9&amp;U MX'!D8</f>
        <v>8.4499999999999993</v>
      </c>
      <c r="Y32" s="283">
        <f t="shared" si="3"/>
        <v>8</v>
      </c>
      <c r="Z32" s="316">
        <f>'INT 9&amp;U MX'!E8</f>
        <v>8.6</v>
      </c>
      <c r="AA32" s="283">
        <f t="shared" si="0"/>
        <v>8</v>
      </c>
      <c r="AB32" s="317">
        <f>Table351213142441[[#This Row],[Floor]]+Table351213142441[[#This Row],[Vault]]</f>
        <v>17.049999999999997</v>
      </c>
      <c r="AC32" s="283">
        <f t="shared" si="1"/>
        <v>8</v>
      </c>
    </row>
    <row r="33" spans="1:29">
      <c r="A33" s="102"/>
      <c r="B33" s="110"/>
      <c r="C33" s="73"/>
      <c r="D33" s="73"/>
      <c r="E33" s="73"/>
      <c r="F33" s="1"/>
      <c r="G33" s="102"/>
      <c r="H33" s="110"/>
      <c r="I33" s="73"/>
      <c r="J33" s="73"/>
      <c r="K33" s="73"/>
      <c r="L33" s="1"/>
      <c r="M33" s="102"/>
      <c r="Q33" s="73"/>
      <c r="U33" s="287" t="s">
        <v>1227</v>
      </c>
      <c r="V33" s="293">
        <v>526</v>
      </c>
      <c r="W33" s="345" t="s">
        <v>1250</v>
      </c>
      <c r="X33" s="316">
        <f>'INT 9&amp;U MX'!D9</f>
        <v>9.1</v>
      </c>
      <c r="Y33" s="283">
        <f t="shared" si="3"/>
        <v>1</v>
      </c>
      <c r="Z33" s="316">
        <f>'INT 9&amp;U MX'!E9</f>
        <v>8.5</v>
      </c>
      <c r="AA33" s="283">
        <f t="shared" si="0"/>
        <v>9.9999999999999982</v>
      </c>
      <c r="AB33" s="317">
        <f>Table351213142441[[#This Row],[Floor]]+Table351213142441[[#This Row],[Vault]]</f>
        <v>17.600000000000001</v>
      </c>
      <c r="AC33" s="283">
        <f t="shared" si="1"/>
        <v>3</v>
      </c>
    </row>
    <row r="34" spans="1:29">
      <c r="A34" s="102"/>
      <c r="B34" s="103"/>
      <c r="C34" s="73"/>
      <c r="D34" s="73"/>
      <c r="E34" s="73"/>
      <c r="F34" s="1"/>
      <c r="G34" s="102"/>
      <c r="H34" s="110"/>
      <c r="I34" s="73"/>
      <c r="J34" s="73"/>
      <c r="K34" s="73"/>
      <c r="L34" s="1"/>
      <c r="M34" s="102"/>
      <c r="Q34" s="73"/>
      <c r="R34" s="41"/>
      <c r="S34" s="41"/>
      <c r="T34" s="41"/>
      <c r="U34" s="287" t="s">
        <v>1227</v>
      </c>
      <c r="V34" s="294">
        <v>527</v>
      </c>
      <c r="W34" s="346" t="s">
        <v>1251</v>
      </c>
      <c r="X34" s="316">
        <f>'INT 9&amp;U MX'!D10</f>
        <v>8.85</v>
      </c>
      <c r="Y34" s="283">
        <f t="shared" si="3"/>
        <v>3</v>
      </c>
      <c r="Z34" s="316">
        <f>'INT 9&amp;U MX'!E10</f>
        <v>9.1</v>
      </c>
      <c r="AA34" s="283">
        <f t="shared" si="0"/>
        <v>2</v>
      </c>
      <c r="AB34" s="317">
        <f>Table351213142441[[#This Row],[Floor]]+Table351213142441[[#This Row],[Vault]]</f>
        <v>17.95</v>
      </c>
      <c r="AC34" s="283">
        <f t="shared" si="1"/>
        <v>2</v>
      </c>
    </row>
    <row r="35" spans="1:29">
      <c r="A35" s="102"/>
      <c r="B35" s="103"/>
      <c r="C35" s="73"/>
      <c r="D35" s="73"/>
      <c r="E35" s="68"/>
      <c r="F35" s="1"/>
      <c r="G35" s="102"/>
      <c r="H35" s="103"/>
      <c r="I35" s="73"/>
      <c r="J35" s="73"/>
      <c r="K35" s="68"/>
      <c r="L35" s="1"/>
      <c r="M35" s="102"/>
      <c r="Q35" s="68"/>
      <c r="R35" s="41"/>
      <c r="S35" s="41"/>
      <c r="T35" s="41"/>
    </row>
    <row r="36" spans="1:29">
      <c r="A36" s="1"/>
      <c r="B36" s="104"/>
      <c r="C36" s="64"/>
      <c r="D36" s="64"/>
      <c r="E36" s="105"/>
      <c r="F36" s="1"/>
      <c r="G36" s="1"/>
      <c r="H36" s="104"/>
      <c r="I36" s="64"/>
      <c r="J36" s="64"/>
      <c r="K36" s="105"/>
      <c r="L36" s="1"/>
      <c r="M36" s="1"/>
      <c r="Q36" s="105"/>
      <c r="R36" s="41"/>
      <c r="S36" s="41"/>
      <c r="T36" s="41"/>
    </row>
    <row r="37" spans="1:29">
      <c r="A37" s="102"/>
      <c r="B37" s="121"/>
      <c r="C37" s="73"/>
      <c r="D37" s="73"/>
      <c r="E37" s="73"/>
      <c r="F37" s="1"/>
      <c r="G37" s="1"/>
      <c r="H37" s="121"/>
      <c r="I37" s="1"/>
      <c r="J37" s="1"/>
      <c r="K37" s="1"/>
      <c r="L37" s="1"/>
      <c r="M37" s="1"/>
      <c r="Q37" s="123"/>
      <c r="R37" s="41"/>
      <c r="S37" s="41"/>
      <c r="T37" s="41"/>
    </row>
    <row r="38" spans="1:29">
      <c r="Q38" s="41"/>
      <c r="R38" s="41"/>
      <c r="S38" s="41"/>
      <c r="T38" s="41"/>
    </row>
    <row r="39" spans="1:29">
      <c r="A39" s="137"/>
      <c r="B39" s="137"/>
      <c r="C39" s="137"/>
      <c r="D39" s="137"/>
      <c r="E39" s="137"/>
      <c r="F39" s="1"/>
      <c r="G39" s="137"/>
      <c r="H39" s="137"/>
      <c r="I39" s="137"/>
      <c r="J39" s="137"/>
      <c r="K39" s="137"/>
    </row>
    <row r="40" spans="1:29">
      <c r="A40" s="111"/>
      <c r="B40" s="111"/>
      <c r="C40" s="111"/>
      <c r="D40" s="111"/>
      <c r="E40" s="111"/>
      <c r="F40" s="1"/>
      <c r="G40" s="111"/>
      <c r="H40" s="111"/>
      <c r="I40" s="111"/>
      <c r="J40" s="111"/>
      <c r="K40" s="111"/>
    </row>
    <row r="41" spans="1:29">
      <c r="A41" s="102"/>
      <c r="B41" s="110"/>
      <c r="C41" s="73"/>
      <c r="D41" s="73"/>
      <c r="E41" s="73"/>
      <c r="F41" s="1"/>
      <c r="G41" s="102"/>
      <c r="H41" s="110"/>
      <c r="I41" s="73"/>
      <c r="J41" s="73"/>
      <c r="K41" s="73"/>
    </row>
  </sheetData>
  <mergeCells count="3">
    <mergeCell ref="A1:AC1"/>
    <mergeCell ref="A2:AC2"/>
    <mergeCell ref="G4:I4"/>
  </mergeCells>
  <phoneticPr fontId="21" type="noConversion"/>
  <conditionalFormatting sqref="AA7:AA34 AC7:AC34 Y7:Y34">
    <cfRule type="cellIs" dxfId="837" priority="7" operator="equal">
      <formula>3</formula>
    </cfRule>
    <cfRule type="cellIs" dxfId="836" priority="8" operator="equal">
      <formula>2</formula>
    </cfRule>
    <cfRule type="cellIs" dxfId="835" priority="9" operator="equal">
      <formula>1</formula>
    </cfRule>
  </conditionalFormatting>
  <conditionalFormatting sqref="P18:P22">
    <cfRule type="cellIs" dxfId="834" priority="10" operator="equal">
      <formula>3</formula>
    </cfRule>
    <cfRule type="cellIs" dxfId="833" priority="11" operator="equal">
      <formula>2</formula>
    </cfRule>
    <cfRule type="cellIs" dxfId="832" priority="12" operator="equal">
      <formula>1</formula>
    </cfRule>
  </conditionalFormatting>
  <pageMargins left="0.75" right="0.75" top="1" bottom="1" header="0.5" footer="0.5"/>
  <pageSetup paperSize="9" scale="53" orientation="landscape" horizontalDpi="4294967292" verticalDpi="4294967292"/>
  <colBreaks count="1" manualBreakCount="1">
    <brk id="29" max="1048575" man="1"/>
  </colBreaks>
  <ignoredErrors>
    <ignoredError sqref="Z11:Z34 Z7:Z10" formula="1"/>
  </ignoredErrors>
  <tableParts count="2"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B137"/>
  <sheetViews>
    <sheetView zoomScale="90" zoomScaleNormal="90" zoomScalePageLayoutView="90" workbookViewId="0">
      <selection activeCell="M88" sqref="M88"/>
    </sheetView>
  </sheetViews>
  <sheetFormatPr defaultColWidth="8.875" defaultRowHeight="15.75"/>
  <cols>
    <col min="1" max="1" width="4.87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2" max="22" width="5.5" style="192" customWidth="1"/>
    <col min="23" max="23" width="18.875" bestFit="1" customWidth="1"/>
    <col min="25" max="25" width="4.375" customWidth="1"/>
    <col min="27" max="27" width="4.875" customWidth="1"/>
    <col min="29" max="29" width="4.5" customWidth="1"/>
  </cols>
  <sheetData>
    <row r="1" spans="1:54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"/>
      <c r="BB2" s="2"/>
    </row>
    <row r="3" spans="1:54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04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21">
      <c r="A4" s="8"/>
      <c r="E4" s="1"/>
      <c r="F4" s="1"/>
      <c r="G4" s="464" t="s">
        <v>117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304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67"/>
      <c r="R5" s="264"/>
      <c r="S5" s="264"/>
    </row>
    <row r="6" spans="1:54" s="8" customFormat="1">
      <c r="A6" s="348" t="s">
        <v>229</v>
      </c>
      <c r="B6" s="349"/>
      <c r="C6" s="349"/>
      <c r="D6" s="349"/>
      <c r="E6" s="350"/>
      <c r="G6" s="348" t="s">
        <v>732</v>
      </c>
      <c r="H6" s="349"/>
      <c r="I6" s="349"/>
      <c r="J6" s="349"/>
      <c r="K6" s="350"/>
      <c r="M6" s="169" t="s">
        <v>280</v>
      </c>
      <c r="N6" s="170"/>
      <c r="O6" s="170"/>
      <c r="P6" s="170"/>
      <c r="Q6" s="119"/>
      <c r="R6" s="263"/>
      <c r="S6" s="267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54">
      <c r="A7" s="354" t="s">
        <v>1</v>
      </c>
      <c r="B7" s="354" t="s">
        <v>2</v>
      </c>
      <c r="C7" s="354" t="s">
        <v>3</v>
      </c>
      <c r="D7" s="354" t="s">
        <v>4</v>
      </c>
      <c r="E7" s="354" t="s">
        <v>5</v>
      </c>
      <c r="F7" s="8"/>
      <c r="G7" s="355" t="s">
        <v>1</v>
      </c>
      <c r="H7" s="354" t="s">
        <v>2</v>
      </c>
      <c r="I7" s="354" t="s">
        <v>3</v>
      </c>
      <c r="J7" s="354" t="s">
        <v>4</v>
      </c>
      <c r="K7" s="354" t="s">
        <v>5</v>
      </c>
      <c r="L7" s="8"/>
      <c r="M7" s="356" t="s">
        <v>1</v>
      </c>
      <c r="N7" s="356" t="s">
        <v>2</v>
      </c>
      <c r="O7" s="356" t="s">
        <v>3</v>
      </c>
      <c r="P7" s="38" t="s">
        <v>4</v>
      </c>
      <c r="Q7" s="354" t="s">
        <v>5</v>
      </c>
      <c r="R7" s="264"/>
      <c r="S7" s="264"/>
      <c r="U7" s="16" t="s">
        <v>215</v>
      </c>
      <c r="V7" s="150">
        <v>435</v>
      </c>
      <c r="W7" s="93" t="s">
        <v>31</v>
      </c>
      <c r="X7" s="14">
        <f>C8</f>
        <v>8.65</v>
      </c>
      <c r="Y7" s="283">
        <f>SUMPRODUCT((X$7:X$94&gt;X7)/COUNTIF(X$7:X$94,X$7:X$94&amp;""))+1</f>
        <v>15.999999999999998</v>
      </c>
      <c r="Z7" s="14">
        <f>D8</f>
        <v>8.35</v>
      </c>
      <c r="AA7" s="283">
        <f>SUMPRODUCT((Z$7:Z$94&gt;Z7)/COUNTIF(Z$7:Z$94,Z$7:Z$94&amp;""))+1</f>
        <v>14.999999999999998</v>
      </c>
      <c r="AB7" s="212">
        <f>Table351550579[[#This Row],[Floor4]]+Table351550579[[#This Row],[Vault6]]</f>
        <v>17</v>
      </c>
      <c r="AC7" s="283">
        <f>SUMPRODUCT((AB$7:AB$94&gt;AB7)/COUNTIF(AB$7:AB$94,AB$7:AB$94&amp;""))+1</f>
        <v>20</v>
      </c>
    </row>
    <row r="8" spans="1:54">
      <c r="A8" s="150">
        <v>435</v>
      </c>
      <c r="B8" s="95" t="s">
        <v>31</v>
      </c>
      <c r="C8" s="14">
        <v>8.65</v>
      </c>
      <c r="D8" s="14">
        <v>8.35</v>
      </c>
      <c r="E8" s="14">
        <f>SUM(C8,D8)</f>
        <v>17</v>
      </c>
      <c r="F8" s="8"/>
      <c r="G8" s="150">
        <v>441</v>
      </c>
      <c r="H8" s="357" t="s">
        <v>740</v>
      </c>
      <c r="I8" s="14">
        <v>8.8000000000000007</v>
      </c>
      <c r="J8" s="14">
        <v>8.5</v>
      </c>
      <c r="K8" s="14">
        <f>SUM(I8,J8)</f>
        <v>17.3</v>
      </c>
      <c r="L8" s="8"/>
      <c r="M8" s="150">
        <v>447</v>
      </c>
      <c r="N8" s="95" t="s">
        <v>745</v>
      </c>
      <c r="O8" s="14">
        <v>7.25</v>
      </c>
      <c r="P8" s="14">
        <v>7.2</v>
      </c>
      <c r="Q8" s="358">
        <f>SUM(O8,P8)</f>
        <v>14.45</v>
      </c>
      <c r="U8" s="16" t="s">
        <v>215</v>
      </c>
      <c r="V8" s="150">
        <v>436</v>
      </c>
      <c r="W8" s="93" t="s">
        <v>617</v>
      </c>
      <c r="X8" s="14">
        <f t="shared" ref="X8:X11" si="0">C9</f>
        <v>8.1</v>
      </c>
      <c r="Y8" s="283">
        <f t="shared" ref="Y8:Y71" si="1">SUMPRODUCT((X$7:X$94&gt;X8)/COUNTIF(X$7:X$94,X$7:X$94&amp;""))+1</f>
        <v>27.000000000000007</v>
      </c>
      <c r="Z8" s="14">
        <f t="shared" ref="Z8:Z11" si="2">D9</f>
        <v>8.75</v>
      </c>
      <c r="AA8" s="283">
        <f t="shared" ref="AA8:AA71" si="3">SUMPRODUCT((Z$7:Z$94&gt;Z8)/COUNTIF(Z$7:Z$94,Z$7:Z$94&amp;""))+1</f>
        <v>7</v>
      </c>
      <c r="AB8" s="212">
        <f>Table351550579[[#This Row],[Floor4]]+Table351550579[[#This Row],[Vault6]]</f>
        <v>16.850000000000001</v>
      </c>
      <c r="AC8" s="283">
        <f t="shared" ref="AC8:AC71" si="4">SUMPRODUCT((AB$7:AB$94&gt;AB8)/COUNTIF(AB$7:AB$94,AB$7:AB$94&amp;""))+1</f>
        <v>22.999999999999993</v>
      </c>
    </row>
    <row r="9" spans="1:54">
      <c r="A9" s="150">
        <v>436</v>
      </c>
      <c r="B9" s="95" t="s">
        <v>617</v>
      </c>
      <c r="C9" s="14">
        <v>8.1</v>
      </c>
      <c r="D9" s="14">
        <v>8.75</v>
      </c>
      <c r="E9" s="14">
        <f t="shared" ref="E9:E13" si="5">SUM(C9,D9)</f>
        <v>16.850000000000001</v>
      </c>
      <c r="F9" s="8"/>
      <c r="G9" s="150">
        <v>442</v>
      </c>
      <c r="H9" s="357" t="s">
        <v>741</v>
      </c>
      <c r="I9" s="14">
        <v>8.5500000000000007</v>
      </c>
      <c r="J9" s="14">
        <v>8.25</v>
      </c>
      <c r="K9" s="14">
        <f t="shared" ref="K9:K13" si="6">SUM(I9,J9)</f>
        <v>16.8</v>
      </c>
      <c r="L9" s="8"/>
      <c r="M9" s="150">
        <v>448</v>
      </c>
      <c r="N9" s="357" t="s">
        <v>742</v>
      </c>
      <c r="O9" s="14">
        <v>7.55</v>
      </c>
      <c r="P9" s="14">
        <v>8.35</v>
      </c>
      <c r="Q9" s="14">
        <f t="shared" ref="Q9:Q13" si="7">SUM(O9,P9)</f>
        <v>15.899999999999999</v>
      </c>
      <c r="U9" s="16" t="s">
        <v>215</v>
      </c>
      <c r="V9" s="150">
        <v>437</v>
      </c>
      <c r="W9" s="93" t="s">
        <v>618</v>
      </c>
      <c r="X9" s="14">
        <f t="shared" si="0"/>
        <v>8.5500000000000007</v>
      </c>
      <c r="Y9" s="283">
        <f t="shared" si="1"/>
        <v>17.999999999999996</v>
      </c>
      <c r="Z9" s="14">
        <f t="shared" si="2"/>
        <v>8.4499999999999993</v>
      </c>
      <c r="AA9" s="283">
        <f t="shared" si="3"/>
        <v>13</v>
      </c>
      <c r="AB9" s="212">
        <f>Table351550579[[#This Row],[Floor4]]+Table351550579[[#This Row],[Vault6]]</f>
        <v>17</v>
      </c>
      <c r="AC9" s="283">
        <f t="shared" si="4"/>
        <v>20</v>
      </c>
    </row>
    <row r="10" spans="1:54">
      <c r="A10" s="150">
        <v>437</v>
      </c>
      <c r="B10" s="95" t="s">
        <v>618</v>
      </c>
      <c r="C10" s="14">
        <v>8.5500000000000007</v>
      </c>
      <c r="D10" s="14">
        <v>8.4499999999999993</v>
      </c>
      <c r="E10" s="14">
        <f t="shared" si="5"/>
        <v>17</v>
      </c>
      <c r="F10" s="8"/>
      <c r="G10" s="150">
        <v>443</v>
      </c>
      <c r="H10" s="95" t="s">
        <v>746</v>
      </c>
      <c r="I10" s="14">
        <v>8.6</v>
      </c>
      <c r="J10" s="14">
        <v>7.4</v>
      </c>
      <c r="K10" s="14">
        <f t="shared" si="6"/>
        <v>16</v>
      </c>
      <c r="L10" s="8"/>
      <c r="M10" s="150">
        <v>449</v>
      </c>
      <c r="N10" s="95" t="s">
        <v>747</v>
      </c>
      <c r="O10" s="14">
        <v>8.4</v>
      </c>
      <c r="P10" s="14">
        <v>8.4499999999999993</v>
      </c>
      <c r="Q10" s="14">
        <f t="shared" si="7"/>
        <v>16.850000000000001</v>
      </c>
      <c r="U10" s="16" t="s">
        <v>215</v>
      </c>
      <c r="V10" s="150">
        <v>438</v>
      </c>
      <c r="W10" s="93" t="s">
        <v>619</v>
      </c>
      <c r="X10" s="14">
        <f>C11</f>
        <v>8.1999999999999993</v>
      </c>
      <c r="Y10" s="283">
        <f t="shared" si="1"/>
        <v>25.000000000000004</v>
      </c>
      <c r="Z10" s="14">
        <f>D11</f>
        <v>8.4499999999999993</v>
      </c>
      <c r="AA10" s="283">
        <f t="shared" si="3"/>
        <v>13</v>
      </c>
      <c r="AB10" s="212">
        <f>Table351550579[[#This Row],[Floor4]]+Table351550579[[#This Row],[Vault6]]</f>
        <v>16.649999999999999</v>
      </c>
      <c r="AC10" s="283">
        <f t="shared" si="4"/>
        <v>26.999999999999989</v>
      </c>
    </row>
    <row r="11" spans="1:54">
      <c r="A11" s="150">
        <v>438</v>
      </c>
      <c r="B11" s="95" t="s">
        <v>619</v>
      </c>
      <c r="C11" s="14">
        <v>8.1999999999999993</v>
      </c>
      <c r="D11" s="14">
        <v>8.4499999999999993</v>
      </c>
      <c r="E11" s="14">
        <f t="shared" si="5"/>
        <v>16.649999999999999</v>
      </c>
      <c r="F11" s="8"/>
      <c r="G11" s="150">
        <v>444</v>
      </c>
      <c r="H11" s="357" t="s">
        <v>743</v>
      </c>
      <c r="I11" s="14">
        <v>8.4499999999999993</v>
      </c>
      <c r="J11" s="14">
        <v>8.4499999999999993</v>
      </c>
      <c r="K11" s="14">
        <f t="shared" si="6"/>
        <v>16.899999999999999</v>
      </c>
      <c r="L11" s="8"/>
      <c r="M11" s="150">
        <v>450</v>
      </c>
      <c r="N11" s="95" t="s">
        <v>748</v>
      </c>
      <c r="O11" s="14">
        <v>7.85</v>
      </c>
      <c r="P11" s="14">
        <v>8.35</v>
      </c>
      <c r="Q11" s="14">
        <f t="shared" si="7"/>
        <v>16.2</v>
      </c>
      <c r="U11" s="16" t="s">
        <v>215</v>
      </c>
      <c r="V11" s="150">
        <v>439</v>
      </c>
      <c r="W11" s="100" t="s">
        <v>620</v>
      </c>
      <c r="X11" s="14">
        <f t="shared" si="0"/>
        <v>7.7</v>
      </c>
      <c r="Y11" s="283">
        <f t="shared" si="1"/>
        <v>33</v>
      </c>
      <c r="Z11" s="14">
        <f t="shared" si="2"/>
        <v>8.35</v>
      </c>
      <c r="AA11" s="283">
        <f t="shared" si="3"/>
        <v>14.999999999999998</v>
      </c>
      <c r="AB11" s="212">
        <f>Table351550579[[#This Row],[Floor4]]+Table351550579[[#This Row],[Vault6]]</f>
        <v>16.05</v>
      </c>
      <c r="AC11" s="283">
        <f t="shared" si="4"/>
        <v>36</v>
      </c>
    </row>
    <row r="12" spans="1:54">
      <c r="A12" s="150">
        <v>439</v>
      </c>
      <c r="B12" s="95" t="s">
        <v>620</v>
      </c>
      <c r="C12" s="14">
        <v>7.7</v>
      </c>
      <c r="D12" s="14">
        <v>8.35</v>
      </c>
      <c r="E12" s="14">
        <f t="shared" si="5"/>
        <v>16.05</v>
      </c>
      <c r="F12" s="8"/>
      <c r="G12" s="150">
        <v>445</v>
      </c>
      <c r="H12" s="357" t="s">
        <v>293</v>
      </c>
      <c r="I12" s="14">
        <v>9.1</v>
      </c>
      <c r="J12" s="14">
        <v>8.1999999999999993</v>
      </c>
      <c r="K12" s="14">
        <f t="shared" si="6"/>
        <v>17.299999999999997</v>
      </c>
      <c r="L12" s="8"/>
      <c r="M12" s="150">
        <v>451</v>
      </c>
      <c r="N12" s="359"/>
      <c r="O12" s="14">
        <v>0</v>
      </c>
      <c r="P12" s="14">
        <v>0</v>
      </c>
      <c r="Q12" s="14">
        <f t="shared" si="7"/>
        <v>0</v>
      </c>
      <c r="U12" s="16" t="s">
        <v>81</v>
      </c>
      <c r="V12" s="150">
        <v>519</v>
      </c>
      <c r="W12" s="100" t="s">
        <v>702</v>
      </c>
      <c r="X12" s="14">
        <f>C63</f>
        <v>8</v>
      </c>
      <c r="Y12" s="283">
        <f t="shared" si="1"/>
        <v>29.000000000000004</v>
      </c>
      <c r="Z12" s="14">
        <f>D63</f>
        <v>7.5</v>
      </c>
      <c r="AA12" s="283">
        <f t="shared" si="3"/>
        <v>19.999999999999993</v>
      </c>
      <c r="AB12" s="212">
        <f>Table351550579[[#This Row],[Floor4]]+Table351550579[[#This Row],[Vault6]]</f>
        <v>15.5</v>
      </c>
      <c r="AC12" s="283">
        <f t="shared" si="4"/>
        <v>42.000000000000028</v>
      </c>
    </row>
    <row r="13" spans="1:54" ht="16.5" thickBot="1">
      <c r="A13" s="150">
        <v>440</v>
      </c>
      <c r="B13" s="359"/>
      <c r="C13" s="14">
        <v>0</v>
      </c>
      <c r="D13" s="14">
        <v>0</v>
      </c>
      <c r="E13" s="14">
        <f t="shared" si="5"/>
        <v>0</v>
      </c>
      <c r="F13" s="8"/>
      <c r="G13" s="150">
        <v>446</v>
      </c>
      <c r="H13" s="357" t="s">
        <v>744</v>
      </c>
      <c r="I13" s="14">
        <v>8.6</v>
      </c>
      <c r="J13" s="14">
        <v>8.5500000000000007</v>
      </c>
      <c r="K13" s="14">
        <f t="shared" si="6"/>
        <v>17.149999999999999</v>
      </c>
      <c r="L13" s="8"/>
      <c r="M13" s="150">
        <v>452</v>
      </c>
      <c r="N13" s="359"/>
      <c r="O13" s="14">
        <v>0</v>
      </c>
      <c r="P13" s="14">
        <v>0</v>
      </c>
      <c r="Q13" s="14">
        <f t="shared" si="7"/>
        <v>0</v>
      </c>
      <c r="U13" s="16" t="s">
        <v>81</v>
      </c>
      <c r="V13" s="150">
        <v>520</v>
      </c>
      <c r="W13" s="100" t="s">
        <v>703</v>
      </c>
      <c r="X13" s="14">
        <f>C64</f>
        <v>8.35</v>
      </c>
      <c r="Y13" s="283">
        <f t="shared" si="1"/>
        <v>22</v>
      </c>
      <c r="Z13" s="14">
        <f>D64</f>
        <v>8.4</v>
      </c>
      <c r="AA13" s="283">
        <f t="shared" si="3"/>
        <v>13.999999999999998</v>
      </c>
      <c r="AB13" s="212">
        <f>Table351550579[[#This Row],[Floor4]]+Table351550579[[#This Row],[Vault6]]</f>
        <v>16.75</v>
      </c>
      <c r="AC13" s="283">
        <f t="shared" si="4"/>
        <v>24.999999999999993</v>
      </c>
    </row>
    <row r="14" spans="1:54" ht="16.5" thickBot="1">
      <c r="A14" s="8"/>
      <c r="B14" s="18" t="s">
        <v>10</v>
      </c>
      <c r="C14" s="19">
        <f>SUM(C8:C13)-SMALL(C8:C13,1)-SMALL(C8:C13,2)</f>
        <v>33.5</v>
      </c>
      <c r="D14" s="19">
        <f>SUM(D8:D13)-SMALL(D8:D13,1)-SMALL(D8:D13,2)</f>
        <v>34</v>
      </c>
      <c r="E14" s="20">
        <f>SUM(C14:D14)</f>
        <v>67.5</v>
      </c>
      <c r="F14" s="8"/>
      <c r="G14" s="8"/>
      <c r="H14" s="18" t="s">
        <v>10</v>
      </c>
      <c r="I14" s="19">
        <f>SUM(I8:I13)-SMALL(I8:I13,1)-SMALL(I8:I13,2)</f>
        <v>35.100000000000009</v>
      </c>
      <c r="J14" s="19">
        <f>SUM(J8:J13)-SMALL(J8:J13,1)-SMALL(J8:J13,2)</f>
        <v>33.75</v>
      </c>
      <c r="K14" s="20">
        <f>SUM(I14:J14)</f>
        <v>68.850000000000009</v>
      </c>
      <c r="L14" s="8"/>
      <c r="M14" s="8"/>
      <c r="N14" s="18" t="s">
        <v>10</v>
      </c>
      <c r="O14" s="19">
        <f>SUM(O8:O13)-SMALL(O8:O13,1)-SMALL(O8:O13,2)</f>
        <v>31.050000000000004</v>
      </c>
      <c r="P14" s="19">
        <f>SUM(P8:P13)-SMALL(P8:P13,1)-SMALL(P8:P13,2)</f>
        <v>32.35</v>
      </c>
      <c r="Q14" s="20">
        <f>SUM(O14:P14)</f>
        <v>63.400000000000006</v>
      </c>
      <c r="U14" s="16" t="s">
        <v>706</v>
      </c>
      <c r="V14" s="150">
        <v>441</v>
      </c>
      <c r="W14" s="100" t="s">
        <v>740</v>
      </c>
      <c r="X14" s="14">
        <f>I8</f>
        <v>8.8000000000000007</v>
      </c>
      <c r="Y14" s="283">
        <f t="shared" si="1"/>
        <v>12.999999999999996</v>
      </c>
      <c r="Z14" s="14">
        <f>J8</f>
        <v>8.5</v>
      </c>
      <c r="AA14" s="283">
        <f t="shared" si="3"/>
        <v>12</v>
      </c>
      <c r="AB14" s="212">
        <f>Table351550579[[#This Row],[Floor4]]+Table351550579[[#This Row],[Vault6]]</f>
        <v>17.3</v>
      </c>
      <c r="AC14" s="283">
        <f t="shared" si="4"/>
        <v>15.000000000000002</v>
      </c>
    </row>
    <row r="15" spans="1:54">
      <c r="A15" s="8"/>
      <c r="B15" s="360" t="s">
        <v>37</v>
      </c>
      <c r="C15" s="8"/>
      <c r="D15" s="18"/>
      <c r="E15" s="22"/>
      <c r="F15" s="8"/>
      <c r="G15" s="8"/>
      <c r="H15" s="360" t="s">
        <v>37</v>
      </c>
      <c r="I15" s="8"/>
      <c r="J15" s="18"/>
      <c r="K15" s="22"/>
      <c r="L15" s="8"/>
      <c r="M15" s="8"/>
      <c r="N15" s="360" t="s">
        <v>37</v>
      </c>
      <c r="O15" s="8"/>
      <c r="P15" s="18"/>
      <c r="Q15" s="22"/>
      <c r="U15" s="16" t="s">
        <v>706</v>
      </c>
      <c r="V15" s="327">
        <v>442</v>
      </c>
      <c r="W15" s="100" t="s">
        <v>741</v>
      </c>
      <c r="X15" s="14">
        <f>I9</f>
        <v>8.5500000000000007</v>
      </c>
      <c r="Y15" s="283">
        <f t="shared" si="1"/>
        <v>17.999999999999996</v>
      </c>
      <c r="Z15" s="14">
        <f>J9</f>
        <v>8.25</v>
      </c>
      <c r="AA15" s="283">
        <f t="shared" si="3"/>
        <v>16.999999999999993</v>
      </c>
      <c r="AB15" s="212">
        <f>Table351550579[[#This Row],[Floor4]]+Table351550579[[#This Row],[Vault6]]</f>
        <v>16.8</v>
      </c>
      <c r="AC15" s="283">
        <f t="shared" si="4"/>
        <v>23.999999999999993</v>
      </c>
    </row>
    <row r="16" spans="1:5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U16" s="16" t="s">
        <v>706</v>
      </c>
      <c r="V16" s="327">
        <v>448</v>
      </c>
      <c r="W16" s="100" t="s">
        <v>742</v>
      </c>
      <c r="X16" s="14">
        <f>O9</f>
        <v>7.55</v>
      </c>
      <c r="Y16" s="283">
        <f t="shared" si="1"/>
        <v>34.999999999999993</v>
      </c>
      <c r="Z16" s="14">
        <f>P9</f>
        <v>8.35</v>
      </c>
      <c r="AA16" s="283">
        <f t="shared" si="3"/>
        <v>14.999999999999998</v>
      </c>
      <c r="AB16" s="212">
        <f>Table351550579[[#This Row],[Floor4]]+Table351550579[[#This Row],[Vault6]]</f>
        <v>15.899999999999999</v>
      </c>
      <c r="AC16" s="283">
        <f t="shared" si="4"/>
        <v>39.000000000000014</v>
      </c>
    </row>
    <row r="17" spans="1:29">
      <c r="A17" s="348" t="s">
        <v>815</v>
      </c>
      <c r="B17" s="349"/>
      <c r="C17" s="349"/>
      <c r="D17" s="349"/>
      <c r="E17" s="350"/>
      <c r="F17" s="8"/>
      <c r="G17" s="348" t="s">
        <v>328</v>
      </c>
      <c r="H17" s="349"/>
      <c r="I17" s="349"/>
      <c r="J17" s="349"/>
      <c r="K17" s="350"/>
      <c r="L17" s="8"/>
      <c r="M17" s="348" t="s">
        <v>157</v>
      </c>
      <c r="N17" s="349"/>
      <c r="O17" s="349"/>
      <c r="P17" s="349"/>
      <c r="Q17" s="350"/>
      <c r="U17" s="16" t="s">
        <v>706</v>
      </c>
      <c r="V17" s="327">
        <v>444</v>
      </c>
      <c r="W17" s="100" t="s">
        <v>743</v>
      </c>
      <c r="X17" s="14">
        <f>I11</f>
        <v>8.4499999999999993</v>
      </c>
      <c r="Y17" s="283">
        <f t="shared" si="1"/>
        <v>20.000000000000004</v>
      </c>
      <c r="Z17" s="14">
        <f>J11</f>
        <v>8.4499999999999993</v>
      </c>
      <c r="AA17" s="283">
        <f t="shared" si="3"/>
        <v>13</v>
      </c>
      <c r="AB17" s="212">
        <f>Table351550579[[#This Row],[Floor4]]+Table351550579[[#This Row],[Vault6]]</f>
        <v>16.899999999999999</v>
      </c>
      <c r="AC17" s="283">
        <f t="shared" si="4"/>
        <v>21.999999999999996</v>
      </c>
    </row>
    <row r="18" spans="1:29">
      <c r="A18" s="354" t="s">
        <v>1</v>
      </c>
      <c r="B18" s="354" t="s">
        <v>2</v>
      </c>
      <c r="C18" s="354" t="s">
        <v>3</v>
      </c>
      <c r="D18" s="354" t="s">
        <v>4</v>
      </c>
      <c r="E18" s="354" t="s">
        <v>5</v>
      </c>
      <c r="F18" s="8"/>
      <c r="G18" s="354" t="s">
        <v>1</v>
      </c>
      <c r="H18" s="354" t="s">
        <v>2</v>
      </c>
      <c r="I18" s="354" t="s">
        <v>3</v>
      </c>
      <c r="J18" s="354" t="s">
        <v>4</v>
      </c>
      <c r="K18" s="354" t="s">
        <v>5</v>
      </c>
      <c r="L18" s="8"/>
      <c r="M18" s="354" t="s">
        <v>1</v>
      </c>
      <c r="N18" s="354" t="s">
        <v>2</v>
      </c>
      <c r="O18" s="354" t="s">
        <v>3</v>
      </c>
      <c r="P18" s="354" t="s">
        <v>4</v>
      </c>
      <c r="Q18" s="354" t="s">
        <v>5</v>
      </c>
      <c r="U18" s="16" t="s">
        <v>706</v>
      </c>
      <c r="V18" s="327">
        <v>445</v>
      </c>
      <c r="W18" s="100" t="s">
        <v>293</v>
      </c>
      <c r="X18" s="14">
        <f>I12</f>
        <v>9.1</v>
      </c>
      <c r="Y18" s="283">
        <f t="shared" si="1"/>
        <v>7</v>
      </c>
      <c r="Z18" s="14">
        <f t="shared" ref="Z18" si="8">J12</f>
        <v>8.1999999999999993</v>
      </c>
      <c r="AA18" s="283">
        <f t="shared" si="3"/>
        <v>17.999999999999989</v>
      </c>
      <c r="AB18" s="212">
        <f>Table351550579[[#This Row],[Floor4]]+Table351550579[[#This Row],[Vault6]]</f>
        <v>17.299999999999997</v>
      </c>
      <c r="AC18" s="283">
        <f t="shared" si="4"/>
        <v>15.000000000000002</v>
      </c>
    </row>
    <row r="19" spans="1:29">
      <c r="A19" s="150">
        <v>453</v>
      </c>
      <c r="B19" s="95" t="s">
        <v>354</v>
      </c>
      <c r="C19" s="14">
        <v>8.8000000000000007</v>
      </c>
      <c r="D19" s="14">
        <v>8.25</v>
      </c>
      <c r="E19" s="14">
        <f>SUM(C19,D19)</f>
        <v>17.05</v>
      </c>
      <c r="F19" s="8"/>
      <c r="G19" s="150">
        <v>459</v>
      </c>
      <c r="H19" s="95" t="s">
        <v>817</v>
      </c>
      <c r="I19" s="14">
        <v>7.85</v>
      </c>
      <c r="J19" s="14">
        <v>8.6999999999999993</v>
      </c>
      <c r="K19" s="14">
        <f>SUM(I19,J19)</f>
        <v>16.549999999999997</v>
      </c>
      <c r="L19" s="8"/>
      <c r="M19" s="150">
        <v>465</v>
      </c>
      <c r="N19" s="95" t="s">
        <v>842</v>
      </c>
      <c r="O19" s="14">
        <v>9.1</v>
      </c>
      <c r="P19" s="14">
        <v>8.4</v>
      </c>
      <c r="Q19" s="14">
        <f>SUM(O19,P19)</f>
        <v>17.5</v>
      </c>
      <c r="U19" s="16" t="s">
        <v>706</v>
      </c>
      <c r="V19" s="327">
        <v>446</v>
      </c>
      <c r="W19" s="100" t="s">
        <v>744</v>
      </c>
      <c r="X19" s="14">
        <f t="shared" ref="X19" si="9">I13</f>
        <v>8.6</v>
      </c>
      <c r="Y19" s="283">
        <f t="shared" si="1"/>
        <v>16.999999999999996</v>
      </c>
      <c r="Z19" s="14">
        <f>J13</f>
        <v>8.5500000000000007</v>
      </c>
      <c r="AA19" s="283">
        <f t="shared" si="3"/>
        <v>11</v>
      </c>
      <c r="AB19" s="212">
        <f>Table351550579[[#This Row],[Floor4]]+Table351550579[[#This Row],[Vault6]]</f>
        <v>17.149999999999999</v>
      </c>
      <c r="AC19" s="283">
        <f t="shared" si="4"/>
        <v>17</v>
      </c>
    </row>
    <row r="20" spans="1:29">
      <c r="A20" s="150">
        <v>454</v>
      </c>
      <c r="B20" s="95" t="s">
        <v>356</v>
      </c>
      <c r="C20" s="14">
        <v>8.8000000000000007</v>
      </c>
      <c r="D20" s="14">
        <v>8.5</v>
      </c>
      <c r="E20" s="14">
        <f t="shared" ref="E20:E24" si="10">SUM(C20,D20)</f>
        <v>17.3</v>
      </c>
      <c r="F20" s="8"/>
      <c r="G20" s="150">
        <v>460</v>
      </c>
      <c r="H20" s="95" t="s">
        <v>818</v>
      </c>
      <c r="I20" s="14">
        <v>8</v>
      </c>
      <c r="J20" s="14">
        <v>7.2</v>
      </c>
      <c r="K20" s="14">
        <f t="shared" ref="K20:K24" si="11">SUM(I20,J20)</f>
        <v>15.2</v>
      </c>
      <c r="L20" s="8"/>
      <c r="M20" s="150">
        <v>466</v>
      </c>
      <c r="N20" s="95" t="s">
        <v>843</v>
      </c>
      <c r="O20" s="14">
        <v>8.3000000000000007</v>
      </c>
      <c r="P20" s="14">
        <v>8.5500000000000007</v>
      </c>
      <c r="Q20" s="14">
        <f t="shared" ref="Q20:Q24" si="12">SUM(O20,P20)</f>
        <v>16.850000000000001</v>
      </c>
      <c r="U20" s="16" t="s">
        <v>706</v>
      </c>
      <c r="V20" s="328">
        <v>447</v>
      </c>
      <c r="W20" s="108" t="s">
        <v>745</v>
      </c>
      <c r="X20" s="14">
        <f>O8</f>
        <v>7.25</v>
      </c>
      <c r="Y20" s="283">
        <f t="shared" si="1"/>
        <v>35.999999999999993</v>
      </c>
      <c r="Z20" s="14">
        <f>P8</f>
        <v>7.2</v>
      </c>
      <c r="AA20" s="283">
        <f t="shared" si="3"/>
        <v>24.000000000000007</v>
      </c>
      <c r="AB20" s="212">
        <f>Table351550579[[#This Row],[Floor4]]+Table351550579[[#This Row],[Vault6]]</f>
        <v>14.45</v>
      </c>
      <c r="AC20" s="283">
        <f t="shared" si="4"/>
        <v>44.000000000000036</v>
      </c>
    </row>
    <row r="21" spans="1:29">
      <c r="A21" s="150">
        <v>455</v>
      </c>
      <c r="B21" s="95" t="s">
        <v>467</v>
      </c>
      <c r="C21" s="14">
        <v>8.35</v>
      </c>
      <c r="D21" s="14">
        <v>8.4</v>
      </c>
      <c r="E21" s="14">
        <f t="shared" si="10"/>
        <v>16.75</v>
      </c>
      <c r="F21" s="8"/>
      <c r="G21" s="150">
        <v>461</v>
      </c>
      <c r="H21" s="95" t="s">
        <v>361</v>
      </c>
      <c r="I21" s="14">
        <v>8.4499999999999993</v>
      </c>
      <c r="J21" s="14">
        <v>8.4499999999999993</v>
      </c>
      <c r="K21" s="14">
        <f t="shared" si="11"/>
        <v>16.899999999999999</v>
      </c>
      <c r="L21" s="8"/>
      <c r="M21" s="150">
        <v>467</v>
      </c>
      <c r="N21" s="95" t="s">
        <v>844</v>
      </c>
      <c r="O21" s="14">
        <v>9.0500000000000007</v>
      </c>
      <c r="P21" s="14">
        <v>8.5</v>
      </c>
      <c r="Q21" s="14">
        <f t="shared" si="12"/>
        <v>17.55</v>
      </c>
      <c r="U21" s="16" t="s">
        <v>706</v>
      </c>
      <c r="V21" s="328">
        <v>443</v>
      </c>
      <c r="W21" s="108" t="s">
        <v>746</v>
      </c>
      <c r="X21" s="14">
        <f>I10</f>
        <v>8.6</v>
      </c>
      <c r="Y21" s="283">
        <f t="shared" si="1"/>
        <v>16.999999999999996</v>
      </c>
      <c r="Z21" s="14">
        <f>J10</f>
        <v>7.4</v>
      </c>
      <c r="AA21" s="283">
        <f t="shared" si="3"/>
        <v>22</v>
      </c>
      <c r="AB21" s="212">
        <f>Table351550579[[#This Row],[Floor4]]+Table351550579[[#This Row],[Vault6]]</f>
        <v>16</v>
      </c>
      <c r="AC21" s="283">
        <f t="shared" si="4"/>
        <v>37.000000000000007</v>
      </c>
    </row>
    <row r="22" spans="1:29">
      <c r="A22" s="150">
        <v>456</v>
      </c>
      <c r="B22" s="95" t="s">
        <v>358</v>
      </c>
      <c r="C22" s="14">
        <v>9.0500000000000007</v>
      </c>
      <c r="D22" s="14">
        <v>7.3</v>
      </c>
      <c r="E22" s="14">
        <f t="shared" si="10"/>
        <v>16.350000000000001</v>
      </c>
      <c r="F22" s="8"/>
      <c r="G22" s="150">
        <v>462</v>
      </c>
      <c r="H22" s="95" t="s">
        <v>338</v>
      </c>
      <c r="I22" s="14">
        <v>8.1</v>
      </c>
      <c r="J22" s="14">
        <v>8.25</v>
      </c>
      <c r="K22" s="14">
        <f t="shared" si="11"/>
        <v>16.350000000000001</v>
      </c>
      <c r="L22" s="8"/>
      <c r="M22" s="150">
        <v>468</v>
      </c>
      <c r="N22" s="95" t="s">
        <v>845</v>
      </c>
      <c r="O22" s="14">
        <v>9</v>
      </c>
      <c r="P22" s="14">
        <v>9.25</v>
      </c>
      <c r="Q22" s="14">
        <f t="shared" si="12"/>
        <v>18.25</v>
      </c>
      <c r="U22" s="16" t="s">
        <v>706</v>
      </c>
      <c r="V22" s="328">
        <v>449</v>
      </c>
      <c r="W22" s="108" t="s">
        <v>747</v>
      </c>
      <c r="X22" s="14">
        <f>O10</f>
        <v>8.4</v>
      </c>
      <c r="Y22" s="283">
        <f t="shared" si="1"/>
        <v>21</v>
      </c>
      <c r="Z22" s="14">
        <f>P10</f>
        <v>8.4499999999999993</v>
      </c>
      <c r="AA22" s="283">
        <f t="shared" si="3"/>
        <v>13</v>
      </c>
      <c r="AB22" s="212">
        <f>Table351550579[[#This Row],[Floor4]]+Table351550579[[#This Row],[Vault6]]</f>
        <v>16.850000000000001</v>
      </c>
      <c r="AC22" s="283">
        <f t="shared" si="4"/>
        <v>22.999999999999993</v>
      </c>
    </row>
    <row r="23" spans="1:29">
      <c r="A23" s="150">
        <v>457</v>
      </c>
      <c r="B23" s="95" t="s">
        <v>360</v>
      </c>
      <c r="C23" s="14">
        <v>8.9499999999999993</v>
      </c>
      <c r="D23" s="14">
        <v>7.4</v>
      </c>
      <c r="E23" s="14">
        <f t="shared" si="10"/>
        <v>16.350000000000001</v>
      </c>
      <c r="F23" s="8"/>
      <c r="G23" s="150">
        <v>463</v>
      </c>
      <c r="H23" s="95" t="s">
        <v>819</v>
      </c>
      <c r="I23" s="14">
        <v>7.9</v>
      </c>
      <c r="J23" s="14">
        <v>8.3000000000000007</v>
      </c>
      <c r="K23" s="14">
        <f t="shared" si="11"/>
        <v>16.200000000000003</v>
      </c>
      <c r="L23" s="8"/>
      <c r="M23" s="150">
        <v>469</v>
      </c>
      <c r="N23" s="95" t="s">
        <v>846</v>
      </c>
      <c r="O23" s="14">
        <v>9.15</v>
      </c>
      <c r="P23" s="14">
        <v>8.9</v>
      </c>
      <c r="Q23" s="14">
        <f t="shared" si="12"/>
        <v>18.05</v>
      </c>
      <c r="U23" s="16" t="s">
        <v>706</v>
      </c>
      <c r="V23" s="328">
        <v>450</v>
      </c>
      <c r="W23" s="95" t="s">
        <v>748</v>
      </c>
      <c r="X23" s="14">
        <f>O11</f>
        <v>7.85</v>
      </c>
      <c r="Y23" s="283">
        <f t="shared" si="1"/>
        <v>32</v>
      </c>
      <c r="Z23" s="14">
        <f>P11</f>
        <v>8.35</v>
      </c>
      <c r="AA23" s="283">
        <f t="shared" si="3"/>
        <v>14.999999999999998</v>
      </c>
      <c r="AB23" s="212">
        <f>Table351550579[[#This Row],[Floor4]]+Table351550579[[#This Row],[Vault6]]</f>
        <v>16.2</v>
      </c>
      <c r="AC23" s="283">
        <f t="shared" si="4"/>
        <v>34</v>
      </c>
    </row>
    <row r="24" spans="1:29" ht="16.5" thickBot="1">
      <c r="A24" s="150">
        <v>458</v>
      </c>
      <c r="B24" s="95" t="s">
        <v>816</v>
      </c>
      <c r="C24" s="14">
        <v>8.25</v>
      </c>
      <c r="D24" s="14">
        <v>8.3000000000000007</v>
      </c>
      <c r="E24" s="14">
        <f t="shared" si="10"/>
        <v>16.55</v>
      </c>
      <c r="F24" s="8"/>
      <c r="G24" s="150">
        <v>464</v>
      </c>
      <c r="H24" s="95" t="s">
        <v>820</v>
      </c>
      <c r="I24" s="14">
        <v>8.6</v>
      </c>
      <c r="J24" s="14">
        <v>8.1999999999999993</v>
      </c>
      <c r="K24" s="14">
        <f t="shared" si="11"/>
        <v>16.799999999999997</v>
      </c>
      <c r="L24" s="8"/>
      <c r="M24" s="150">
        <v>470</v>
      </c>
      <c r="N24" s="95" t="s">
        <v>847</v>
      </c>
      <c r="O24" s="14">
        <v>9.1999999999999993</v>
      </c>
      <c r="P24" s="14">
        <v>9.1</v>
      </c>
      <c r="Q24" s="14">
        <f t="shared" si="12"/>
        <v>18.299999999999997</v>
      </c>
      <c r="U24" s="16" t="s">
        <v>799</v>
      </c>
      <c r="V24" s="150">
        <v>453</v>
      </c>
      <c r="W24" s="93" t="s">
        <v>354</v>
      </c>
      <c r="X24" s="14">
        <f>C19</f>
        <v>8.8000000000000007</v>
      </c>
      <c r="Y24" s="283">
        <f t="shared" si="1"/>
        <v>12.999999999999996</v>
      </c>
      <c r="Z24" s="14">
        <f>D19</f>
        <v>8.25</v>
      </c>
      <c r="AA24" s="283">
        <f t="shared" si="3"/>
        <v>16.999999999999993</v>
      </c>
      <c r="AB24" s="212">
        <f>Table351550579[[#This Row],[Floor4]]+Table351550579[[#This Row],[Vault6]]</f>
        <v>17.05</v>
      </c>
      <c r="AC24" s="283">
        <f t="shared" si="4"/>
        <v>19</v>
      </c>
    </row>
    <row r="25" spans="1:29" ht="16.5" thickBot="1">
      <c r="A25" s="8"/>
      <c r="B25" s="18" t="s">
        <v>10</v>
      </c>
      <c r="C25" s="19">
        <f>SUM(C19:C24)-SMALL(C19:C24,1)-SMALL(C19:C24,2)</f>
        <v>35.6</v>
      </c>
      <c r="D25" s="19">
        <f>SUM(D19:D24)-SMALL(D19:D24,1)-SMALL(D19:D24,2)</f>
        <v>33.449999999999996</v>
      </c>
      <c r="E25" s="20">
        <f>SUM(C25:D25)</f>
        <v>69.05</v>
      </c>
      <c r="F25" s="8"/>
      <c r="G25" s="8"/>
      <c r="H25" s="18" t="s">
        <v>10</v>
      </c>
      <c r="I25" s="19">
        <f>SUM(I19:I24)-SMALL(I19:I24,1)-SMALL(I19:I24,2)</f>
        <v>33.15</v>
      </c>
      <c r="J25" s="19">
        <f>SUM(J19:J24)-SMALL(J19:J24,1)-SMALL(J19:J24,2)</f>
        <v>33.699999999999989</v>
      </c>
      <c r="K25" s="20">
        <f>SUM(I25:J25)</f>
        <v>66.849999999999994</v>
      </c>
      <c r="L25" s="8"/>
      <c r="M25" s="8"/>
      <c r="N25" s="18" t="s">
        <v>10</v>
      </c>
      <c r="O25" s="19">
        <f>SUM(O19:O24)-SMALL(O19:O24,1)-SMALL(O19:O24,2)</f>
        <v>36.5</v>
      </c>
      <c r="P25" s="19">
        <f>SUM(P19:P24)-SMALL(P19:P24,1)-SMALL(P19:P24,2)</f>
        <v>35.800000000000004</v>
      </c>
      <c r="Q25" s="20">
        <f>SUM(O25:P25)</f>
        <v>72.300000000000011</v>
      </c>
      <c r="U25" s="16" t="s">
        <v>799</v>
      </c>
      <c r="V25" s="150">
        <v>454</v>
      </c>
      <c r="W25" s="93" t="s">
        <v>356</v>
      </c>
      <c r="X25" s="14">
        <f t="shared" ref="X25:X29" si="13">C20</f>
        <v>8.8000000000000007</v>
      </c>
      <c r="Y25" s="283">
        <f t="shared" si="1"/>
        <v>12.999999999999996</v>
      </c>
      <c r="Z25" s="14">
        <f t="shared" ref="Z25:Z29" si="14">D20</f>
        <v>8.5</v>
      </c>
      <c r="AA25" s="283">
        <f t="shared" si="3"/>
        <v>12</v>
      </c>
      <c r="AB25" s="212">
        <f>Table351550579[[#This Row],[Floor4]]+Table351550579[[#This Row],[Vault6]]</f>
        <v>17.3</v>
      </c>
      <c r="AC25" s="283">
        <f t="shared" si="4"/>
        <v>15.000000000000002</v>
      </c>
    </row>
    <row r="26" spans="1:29">
      <c r="A26" s="8"/>
      <c r="B26" s="360" t="s">
        <v>37</v>
      </c>
      <c r="C26" s="8"/>
      <c r="D26" s="18"/>
      <c r="E26" s="22"/>
      <c r="F26" s="8"/>
      <c r="G26" s="8"/>
      <c r="H26" s="360" t="s">
        <v>37</v>
      </c>
      <c r="I26" s="8"/>
      <c r="J26" s="18"/>
      <c r="K26" s="22"/>
      <c r="L26" s="8"/>
      <c r="M26" s="8"/>
      <c r="N26" s="360" t="s">
        <v>37</v>
      </c>
      <c r="O26" s="8"/>
      <c r="P26" s="18"/>
      <c r="Q26" s="22"/>
      <c r="U26" s="16" t="s">
        <v>799</v>
      </c>
      <c r="V26" s="150">
        <v>455</v>
      </c>
      <c r="W26" s="93" t="s">
        <v>467</v>
      </c>
      <c r="X26" s="14">
        <f t="shared" si="13"/>
        <v>8.35</v>
      </c>
      <c r="Y26" s="283">
        <f t="shared" si="1"/>
        <v>22</v>
      </c>
      <c r="Z26" s="14">
        <f t="shared" si="14"/>
        <v>8.4</v>
      </c>
      <c r="AA26" s="283">
        <f t="shared" si="3"/>
        <v>13.999999999999998</v>
      </c>
      <c r="AB26" s="212">
        <f>Table351550579[[#This Row],[Floor4]]+Table351550579[[#This Row],[Vault6]]</f>
        <v>16.75</v>
      </c>
      <c r="AC26" s="283">
        <f t="shared" si="4"/>
        <v>24.999999999999993</v>
      </c>
    </row>
    <row r="27" spans="1:29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U27" s="16" t="s">
        <v>799</v>
      </c>
      <c r="V27" s="150">
        <v>456</v>
      </c>
      <c r="W27" s="93" t="s">
        <v>358</v>
      </c>
      <c r="X27" s="14">
        <f>C22</f>
        <v>9.0500000000000007</v>
      </c>
      <c r="Y27" s="283">
        <f t="shared" si="1"/>
        <v>8</v>
      </c>
      <c r="Z27" s="14">
        <f>D22</f>
        <v>7.3</v>
      </c>
      <c r="AA27" s="283">
        <f t="shared" si="3"/>
        <v>23</v>
      </c>
      <c r="AB27" s="212">
        <f>Table351550579[[#This Row],[Floor4]]+Table351550579[[#This Row],[Vault6]]</f>
        <v>16.350000000000001</v>
      </c>
      <c r="AC27" s="283">
        <f t="shared" si="4"/>
        <v>30.999999999999986</v>
      </c>
    </row>
    <row r="28" spans="1:29">
      <c r="A28" s="348" t="s">
        <v>369</v>
      </c>
      <c r="B28" s="349"/>
      <c r="C28" s="349"/>
      <c r="D28" s="349"/>
      <c r="E28" s="350"/>
      <c r="F28" s="8"/>
      <c r="G28" s="348" t="s">
        <v>415</v>
      </c>
      <c r="H28" s="349"/>
      <c r="I28" s="349"/>
      <c r="J28" s="349"/>
      <c r="K28" s="350"/>
      <c r="L28" s="8"/>
      <c r="M28" s="348" t="s">
        <v>416</v>
      </c>
      <c r="N28" s="349"/>
      <c r="O28" s="349"/>
      <c r="P28" s="349"/>
      <c r="Q28" s="350"/>
      <c r="U28" s="16" t="s">
        <v>799</v>
      </c>
      <c r="V28" s="150">
        <v>457</v>
      </c>
      <c r="W28" s="93" t="s">
        <v>360</v>
      </c>
      <c r="X28" s="14">
        <f t="shared" si="13"/>
        <v>8.9499999999999993</v>
      </c>
      <c r="Y28" s="283">
        <f t="shared" si="1"/>
        <v>10</v>
      </c>
      <c r="Z28" s="14">
        <f t="shared" si="14"/>
        <v>7.4</v>
      </c>
      <c r="AA28" s="283">
        <f t="shared" si="3"/>
        <v>22</v>
      </c>
      <c r="AB28" s="212">
        <f>Table351550579[[#This Row],[Floor4]]+Table351550579[[#This Row],[Vault6]]</f>
        <v>16.350000000000001</v>
      </c>
      <c r="AC28" s="283">
        <f t="shared" si="4"/>
        <v>30.999999999999986</v>
      </c>
    </row>
    <row r="29" spans="1:29">
      <c r="A29" s="354" t="s">
        <v>1</v>
      </c>
      <c r="B29" s="354" t="s">
        <v>2</v>
      </c>
      <c r="C29" s="354" t="s">
        <v>3</v>
      </c>
      <c r="D29" s="354" t="s">
        <v>4</v>
      </c>
      <c r="E29" s="354" t="s">
        <v>5</v>
      </c>
      <c r="F29" s="8"/>
      <c r="G29" s="354" t="s">
        <v>1</v>
      </c>
      <c r="H29" s="354" t="s">
        <v>2</v>
      </c>
      <c r="I29" s="354" t="s">
        <v>3</v>
      </c>
      <c r="J29" s="354" t="s">
        <v>4</v>
      </c>
      <c r="K29" s="354" t="s">
        <v>5</v>
      </c>
      <c r="L29" s="8"/>
      <c r="M29" s="354" t="s">
        <v>1</v>
      </c>
      <c r="N29" s="354" t="s">
        <v>2</v>
      </c>
      <c r="O29" s="354" t="s">
        <v>3</v>
      </c>
      <c r="P29" s="354" t="s">
        <v>4</v>
      </c>
      <c r="Q29" s="354" t="s">
        <v>5</v>
      </c>
      <c r="U29" s="16" t="s">
        <v>799</v>
      </c>
      <c r="V29" s="150">
        <v>458</v>
      </c>
      <c r="W29" s="93" t="s">
        <v>816</v>
      </c>
      <c r="X29" s="14">
        <f t="shared" si="13"/>
        <v>8.25</v>
      </c>
      <c r="Y29" s="283">
        <f t="shared" si="1"/>
        <v>24.000000000000004</v>
      </c>
      <c r="Z29" s="14">
        <f t="shared" si="14"/>
        <v>8.3000000000000007</v>
      </c>
      <c r="AA29" s="283">
        <f t="shared" si="3"/>
        <v>15.999999999999996</v>
      </c>
      <c r="AB29" s="212">
        <f>Table351550579[[#This Row],[Floor4]]+Table351550579[[#This Row],[Vault6]]</f>
        <v>16.55</v>
      </c>
      <c r="AC29" s="283">
        <f t="shared" si="4"/>
        <v>28.999999999999989</v>
      </c>
    </row>
    <row r="30" spans="1:29">
      <c r="A30" s="150">
        <v>471</v>
      </c>
      <c r="B30" s="95" t="s">
        <v>366</v>
      </c>
      <c r="C30" s="14">
        <v>8.5500000000000007</v>
      </c>
      <c r="D30" s="14">
        <v>8.5500000000000007</v>
      </c>
      <c r="E30" s="14">
        <f>SUM(C30,D30)</f>
        <v>17.100000000000001</v>
      </c>
      <c r="F30" s="8"/>
      <c r="G30" s="150">
        <v>477</v>
      </c>
      <c r="H30" s="95" t="s">
        <v>1035</v>
      </c>
      <c r="I30" s="14">
        <v>8.85</v>
      </c>
      <c r="J30" s="14">
        <v>8.35</v>
      </c>
      <c r="K30" s="14">
        <f>SUM(I30,J30)</f>
        <v>17.2</v>
      </c>
      <c r="L30" s="8"/>
      <c r="M30" s="150">
        <v>483</v>
      </c>
      <c r="N30" s="95" t="s">
        <v>1041</v>
      </c>
      <c r="O30" s="14">
        <v>8.85</v>
      </c>
      <c r="P30" s="14">
        <v>7.4</v>
      </c>
      <c r="Q30" s="14">
        <f>SUM(O30,P30)</f>
        <v>16.25</v>
      </c>
      <c r="U30" s="16" t="s">
        <v>799</v>
      </c>
      <c r="V30" s="150">
        <v>459</v>
      </c>
      <c r="W30" s="93" t="s">
        <v>817</v>
      </c>
      <c r="X30" s="14">
        <f>I19</f>
        <v>7.85</v>
      </c>
      <c r="Y30" s="283">
        <f t="shared" si="1"/>
        <v>32</v>
      </c>
      <c r="Z30" s="14">
        <f>J19</f>
        <v>8.6999999999999993</v>
      </c>
      <c r="AA30" s="283">
        <f t="shared" si="3"/>
        <v>8</v>
      </c>
      <c r="AB30" s="212">
        <f>Table351550579[[#This Row],[Floor4]]+Table351550579[[#This Row],[Vault6]]</f>
        <v>16.549999999999997</v>
      </c>
      <c r="AC30" s="283">
        <f t="shared" si="4"/>
        <v>28.999999999999989</v>
      </c>
    </row>
    <row r="31" spans="1:29">
      <c r="A31" s="150">
        <v>472</v>
      </c>
      <c r="B31" s="95" t="s">
        <v>883</v>
      </c>
      <c r="C31" s="14">
        <v>8.65</v>
      </c>
      <c r="D31" s="14">
        <v>7.45</v>
      </c>
      <c r="E31" s="14">
        <f t="shared" ref="E31:E35" si="15">SUM(C31,D31)</f>
        <v>16.100000000000001</v>
      </c>
      <c r="F31" s="8"/>
      <c r="G31" s="150">
        <v>478</v>
      </c>
      <c r="H31" s="95" t="s">
        <v>1036</v>
      </c>
      <c r="I31" s="14">
        <v>8.25</v>
      </c>
      <c r="J31" s="14">
        <v>8.4499999999999993</v>
      </c>
      <c r="K31" s="14">
        <f t="shared" ref="K31:K35" si="16">SUM(I31,J31)</f>
        <v>16.7</v>
      </c>
      <c r="L31" s="8"/>
      <c r="M31" s="150">
        <v>484</v>
      </c>
      <c r="N31" s="95" t="s">
        <v>1042</v>
      </c>
      <c r="O31" s="14">
        <v>9.3000000000000007</v>
      </c>
      <c r="P31" s="14">
        <v>7</v>
      </c>
      <c r="Q31" s="14">
        <f t="shared" ref="Q31:Q35" si="17">SUM(O31,P31)</f>
        <v>16.3</v>
      </c>
      <c r="U31" s="16" t="s">
        <v>799</v>
      </c>
      <c r="V31" s="150">
        <v>460</v>
      </c>
      <c r="W31" s="93" t="s">
        <v>818</v>
      </c>
      <c r="X31" s="14">
        <f t="shared" ref="X31:X35" si="18">I20</f>
        <v>8</v>
      </c>
      <c r="Y31" s="283">
        <f t="shared" si="1"/>
        <v>29.000000000000004</v>
      </c>
      <c r="Z31" s="14">
        <f t="shared" ref="Z31:Z35" si="19">J20</f>
        <v>7.2</v>
      </c>
      <c r="AA31" s="283">
        <f t="shared" si="3"/>
        <v>24.000000000000007</v>
      </c>
      <c r="AB31" s="212">
        <f>Table351550579[[#This Row],[Floor4]]+Table351550579[[#This Row],[Vault6]]</f>
        <v>15.2</v>
      </c>
      <c r="AC31" s="283">
        <f t="shared" si="4"/>
        <v>43.000000000000036</v>
      </c>
    </row>
    <row r="32" spans="1:29">
      <c r="A32" s="150">
        <v>473</v>
      </c>
      <c r="B32" s="95" t="s">
        <v>884</v>
      </c>
      <c r="C32" s="14">
        <v>8.5</v>
      </c>
      <c r="D32" s="14">
        <v>8.4499999999999993</v>
      </c>
      <c r="E32" s="14">
        <f t="shared" si="15"/>
        <v>16.95</v>
      </c>
      <c r="F32" s="8"/>
      <c r="G32" s="150">
        <v>479</v>
      </c>
      <c r="H32" s="95" t="s">
        <v>1037</v>
      </c>
      <c r="I32" s="14">
        <v>8.4499999999999993</v>
      </c>
      <c r="J32" s="14">
        <v>8.3000000000000007</v>
      </c>
      <c r="K32" s="14">
        <f t="shared" si="16"/>
        <v>16.75</v>
      </c>
      <c r="L32" s="8"/>
      <c r="M32" s="150">
        <v>485</v>
      </c>
      <c r="N32" s="95" t="s">
        <v>1043</v>
      </c>
      <c r="O32" s="14">
        <v>7.6</v>
      </c>
      <c r="P32" s="14">
        <v>8.4499999999999993</v>
      </c>
      <c r="Q32" s="14">
        <f t="shared" si="17"/>
        <v>16.049999999999997</v>
      </c>
      <c r="U32" s="16" t="s">
        <v>799</v>
      </c>
      <c r="V32" s="150">
        <v>461</v>
      </c>
      <c r="W32" s="93" t="s">
        <v>361</v>
      </c>
      <c r="X32" s="14">
        <f t="shared" si="18"/>
        <v>8.4499999999999993</v>
      </c>
      <c r="Y32" s="283">
        <f t="shared" si="1"/>
        <v>20.000000000000004</v>
      </c>
      <c r="Z32" s="14">
        <f t="shared" si="19"/>
        <v>8.4499999999999993</v>
      </c>
      <c r="AA32" s="283">
        <f t="shared" si="3"/>
        <v>13</v>
      </c>
      <c r="AB32" s="212">
        <f>Table351550579[[#This Row],[Floor4]]+Table351550579[[#This Row],[Vault6]]</f>
        <v>16.899999999999999</v>
      </c>
      <c r="AC32" s="283">
        <f t="shared" si="4"/>
        <v>21.999999999999996</v>
      </c>
    </row>
    <row r="33" spans="1:29">
      <c r="A33" s="150">
        <v>474</v>
      </c>
      <c r="B33" s="95" t="s">
        <v>365</v>
      </c>
      <c r="C33" s="14">
        <v>9.65</v>
      </c>
      <c r="D33" s="14">
        <v>7.4</v>
      </c>
      <c r="E33" s="14">
        <f t="shared" si="15"/>
        <v>17.05</v>
      </c>
      <c r="F33" s="8"/>
      <c r="G33" s="150">
        <v>480</v>
      </c>
      <c r="H33" s="95" t="s">
        <v>1038</v>
      </c>
      <c r="I33" s="14">
        <v>8.4499999999999993</v>
      </c>
      <c r="J33" s="14">
        <v>8.65</v>
      </c>
      <c r="K33" s="14">
        <f t="shared" si="16"/>
        <v>17.100000000000001</v>
      </c>
      <c r="L33" s="8"/>
      <c r="M33" s="150">
        <v>486</v>
      </c>
      <c r="N33" s="95" t="s">
        <v>1044</v>
      </c>
      <c r="O33" s="14">
        <v>8.1</v>
      </c>
      <c r="P33" s="14">
        <v>8.85</v>
      </c>
      <c r="Q33" s="14">
        <f t="shared" si="17"/>
        <v>16.95</v>
      </c>
      <c r="U33" s="16" t="s">
        <v>799</v>
      </c>
      <c r="V33" s="150">
        <v>462</v>
      </c>
      <c r="W33" s="93" t="s">
        <v>338</v>
      </c>
      <c r="X33" s="14">
        <f t="shared" si="18"/>
        <v>8.1</v>
      </c>
      <c r="Y33" s="283">
        <f t="shared" si="1"/>
        <v>27.000000000000007</v>
      </c>
      <c r="Z33" s="14">
        <f t="shared" si="19"/>
        <v>8.25</v>
      </c>
      <c r="AA33" s="283">
        <f t="shared" si="3"/>
        <v>16.999999999999993</v>
      </c>
      <c r="AB33" s="212">
        <f>Table351550579[[#This Row],[Floor4]]+Table351550579[[#This Row],[Vault6]]</f>
        <v>16.350000000000001</v>
      </c>
      <c r="AC33" s="283">
        <f t="shared" si="4"/>
        <v>30.999999999999986</v>
      </c>
    </row>
    <row r="34" spans="1:29">
      <c r="A34" s="150">
        <v>475</v>
      </c>
      <c r="B34" s="95" t="s">
        <v>885</v>
      </c>
      <c r="C34" s="14">
        <v>8.9499999999999993</v>
      </c>
      <c r="D34" s="14">
        <v>8.1999999999999993</v>
      </c>
      <c r="E34" s="14">
        <f t="shared" si="15"/>
        <v>17.149999999999999</v>
      </c>
      <c r="F34" s="8"/>
      <c r="G34" s="150">
        <v>481</v>
      </c>
      <c r="H34" s="95" t="s">
        <v>1039</v>
      </c>
      <c r="I34" s="14">
        <v>8.1</v>
      </c>
      <c r="J34" s="14">
        <v>8.5</v>
      </c>
      <c r="K34" s="14">
        <f t="shared" si="16"/>
        <v>16.600000000000001</v>
      </c>
      <c r="L34" s="8"/>
      <c r="M34" s="150">
        <v>487</v>
      </c>
      <c r="N34" s="95" t="s">
        <v>1045</v>
      </c>
      <c r="O34" s="14">
        <v>8.65</v>
      </c>
      <c r="P34" s="14">
        <v>7.3</v>
      </c>
      <c r="Q34" s="14">
        <f t="shared" si="17"/>
        <v>15.95</v>
      </c>
      <c r="U34" s="16" t="s">
        <v>799</v>
      </c>
      <c r="V34" s="150">
        <v>463</v>
      </c>
      <c r="W34" s="93" t="s">
        <v>819</v>
      </c>
      <c r="X34" s="14">
        <f t="shared" si="18"/>
        <v>7.9</v>
      </c>
      <c r="Y34" s="283">
        <f t="shared" si="1"/>
        <v>31.000000000000004</v>
      </c>
      <c r="Z34" s="14">
        <f t="shared" si="19"/>
        <v>8.3000000000000007</v>
      </c>
      <c r="AA34" s="283">
        <f t="shared" si="3"/>
        <v>15.999999999999996</v>
      </c>
      <c r="AB34" s="212">
        <f>Table351550579[[#This Row],[Floor4]]+Table351550579[[#This Row],[Vault6]]</f>
        <v>16.200000000000003</v>
      </c>
      <c r="AC34" s="283">
        <f t="shared" si="4"/>
        <v>34</v>
      </c>
    </row>
    <row r="35" spans="1:29" ht="16.5" thickBot="1">
      <c r="A35" s="150">
        <v>476</v>
      </c>
      <c r="B35" s="108" t="s">
        <v>886</v>
      </c>
      <c r="C35" s="14">
        <v>8.3000000000000007</v>
      </c>
      <c r="D35" s="14">
        <v>8.35</v>
      </c>
      <c r="E35" s="14">
        <f t="shared" si="15"/>
        <v>16.649999999999999</v>
      </c>
      <c r="F35" s="8"/>
      <c r="G35" s="150">
        <v>482</v>
      </c>
      <c r="H35" s="108" t="s">
        <v>1040</v>
      </c>
      <c r="I35" s="14">
        <v>7.85</v>
      </c>
      <c r="J35" s="14">
        <v>8.15</v>
      </c>
      <c r="K35" s="14">
        <f t="shared" si="16"/>
        <v>16</v>
      </c>
      <c r="L35" s="8"/>
      <c r="M35" s="150">
        <v>488</v>
      </c>
      <c r="N35" s="95" t="s">
        <v>1046</v>
      </c>
      <c r="O35" s="14">
        <v>8.85</v>
      </c>
      <c r="P35" s="14">
        <v>8.5</v>
      </c>
      <c r="Q35" s="14">
        <f t="shared" si="17"/>
        <v>17.350000000000001</v>
      </c>
      <c r="U35" s="16" t="s">
        <v>799</v>
      </c>
      <c r="V35" s="150">
        <v>464</v>
      </c>
      <c r="W35" s="93" t="s">
        <v>820</v>
      </c>
      <c r="X35" s="14">
        <f t="shared" si="18"/>
        <v>8.6</v>
      </c>
      <c r="Y35" s="283">
        <f t="shared" si="1"/>
        <v>16.999999999999996</v>
      </c>
      <c r="Z35" s="14">
        <f t="shared" si="19"/>
        <v>8.1999999999999993</v>
      </c>
      <c r="AA35" s="283">
        <f t="shared" si="3"/>
        <v>17.999999999999989</v>
      </c>
      <c r="AB35" s="212">
        <f>Table351550579[[#This Row],[Floor4]]+Table351550579[[#This Row],[Vault6]]</f>
        <v>16.799999999999997</v>
      </c>
      <c r="AC35" s="283">
        <f t="shared" si="4"/>
        <v>23.999999999999993</v>
      </c>
    </row>
    <row r="36" spans="1:29" ht="16.5" thickBot="1">
      <c r="A36" s="8"/>
      <c r="B36" s="18" t="s">
        <v>10</v>
      </c>
      <c r="C36" s="19">
        <f>SUM(C30:C35)-SMALL(C30:C35,1)-SMALL(C30:C35,2)</f>
        <v>35.799999999999997</v>
      </c>
      <c r="D36" s="19">
        <f>SUM(D30:D35)-SMALL(D30:D35,1)-SMALL(D30:D35,2)</f>
        <v>33.549999999999997</v>
      </c>
      <c r="E36" s="20">
        <f>SUM(C36:D36)</f>
        <v>69.349999999999994</v>
      </c>
      <c r="F36" s="8"/>
      <c r="G36" s="8"/>
      <c r="H36" s="18" t="s">
        <v>10</v>
      </c>
      <c r="I36" s="19">
        <f>SUM(I30:I35)-SMALL(I30:I35,1)-SMALL(I30:I35,2)</f>
        <v>34</v>
      </c>
      <c r="J36" s="19">
        <f>SUM(J30:J35)-SMALL(J30:J35,1)-SMALL(J30:J35,2)</f>
        <v>33.950000000000003</v>
      </c>
      <c r="K36" s="20">
        <f>SUM(I36:J36)</f>
        <v>67.95</v>
      </c>
      <c r="L36" s="8"/>
      <c r="M36" s="8"/>
      <c r="N36" s="18" t="s">
        <v>10</v>
      </c>
      <c r="O36" s="19">
        <f>SUM(O30:O35)-SMALL(O30:O35,1)-SMALL(O30:O35,2)</f>
        <v>35.65</v>
      </c>
      <c r="P36" s="19">
        <f>SUM(P30:P35)-SMALL(P30:P35,1)-SMALL(P30:P35,2)</f>
        <v>33.200000000000003</v>
      </c>
      <c r="Q36" s="20">
        <f>SUM(O36:P36)</f>
        <v>68.849999999999994</v>
      </c>
      <c r="U36" s="16" t="s">
        <v>222</v>
      </c>
      <c r="V36" s="150">
        <v>465</v>
      </c>
      <c r="W36" s="93" t="s">
        <v>842</v>
      </c>
      <c r="X36" s="14">
        <f>O19</f>
        <v>9.1</v>
      </c>
      <c r="Y36" s="283">
        <f t="shared" si="1"/>
        <v>7</v>
      </c>
      <c r="Z36" s="14">
        <f>P19</f>
        <v>8.4</v>
      </c>
      <c r="AA36" s="283">
        <f t="shared" si="3"/>
        <v>13.999999999999998</v>
      </c>
      <c r="AB36" s="212">
        <f>Table351550579[[#This Row],[Floor4]]+Table351550579[[#This Row],[Vault6]]</f>
        <v>17.5</v>
      </c>
      <c r="AC36" s="283">
        <f t="shared" si="4"/>
        <v>12</v>
      </c>
    </row>
    <row r="37" spans="1:29">
      <c r="A37" s="8"/>
      <c r="B37" s="360" t="s">
        <v>37</v>
      </c>
      <c r="C37" s="8"/>
      <c r="D37" s="18"/>
      <c r="E37" s="22"/>
      <c r="F37" s="8"/>
      <c r="G37" s="8"/>
      <c r="H37" s="360" t="s">
        <v>37</v>
      </c>
      <c r="I37" s="8"/>
      <c r="J37" s="18"/>
      <c r="K37" s="22"/>
      <c r="L37" s="8"/>
      <c r="M37" s="8"/>
      <c r="N37" s="360" t="s">
        <v>37</v>
      </c>
      <c r="O37" s="8"/>
      <c r="P37" s="18"/>
      <c r="Q37" s="22"/>
      <c r="U37" s="16" t="s">
        <v>222</v>
      </c>
      <c r="V37" s="150">
        <v>466</v>
      </c>
      <c r="W37" s="93" t="s">
        <v>843</v>
      </c>
      <c r="X37" s="14">
        <f t="shared" ref="X37:X41" si="20">O20</f>
        <v>8.3000000000000007</v>
      </c>
      <c r="Y37" s="283">
        <f t="shared" si="1"/>
        <v>23.000000000000004</v>
      </c>
      <c r="Z37" s="14">
        <f t="shared" ref="Z37:Z41" si="21">P20</f>
        <v>8.5500000000000007</v>
      </c>
      <c r="AA37" s="283">
        <f t="shared" si="3"/>
        <v>11</v>
      </c>
      <c r="AB37" s="212">
        <f>Table351550579[[#This Row],[Floor4]]+Table351550579[[#This Row],[Vault6]]</f>
        <v>16.850000000000001</v>
      </c>
      <c r="AC37" s="283">
        <f t="shared" si="4"/>
        <v>22.999999999999993</v>
      </c>
    </row>
    <row r="38" spans="1:29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U38" s="16" t="s">
        <v>222</v>
      </c>
      <c r="V38" s="150">
        <v>467</v>
      </c>
      <c r="W38" s="93" t="s">
        <v>844</v>
      </c>
      <c r="X38" s="14">
        <f t="shared" si="20"/>
        <v>9.0500000000000007</v>
      </c>
      <c r="Y38" s="283">
        <f t="shared" si="1"/>
        <v>8</v>
      </c>
      <c r="Z38" s="14">
        <f t="shared" si="21"/>
        <v>8.5</v>
      </c>
      <c r="AA38" s="283">
        <f t="shared" si="3"/>
        <v>12</v>
      </c>
      <c r="AB38" s="212">
        <f>Table351550579[[#This Row],[Floor4]]+Table351550579[[#This Row],[Vault6]]</f>
        <v>17.55</v>
      </c>
      <c r="AC38" s="283">
        <f t="shared" si="4"/>
        <v>11</v>
      </c>
    </row>
    <row r="39" spans="1:29">
      <c r="A39" s="348" t="s">
        <v>164</v>
      </c>
      <c r="B39" s="349"/>
      <c r="C39" s="349"/>
      <c r="D39" s="349"/>
      <c r="E39" s="350"/>
      <c r="F39" s="8"/>
      <c r="G39" s="348" t="s">
        <v>171</v>
      </c>
      <c r="H39" s="349"/>
      <c r="I39" s="349"/>
      <c r="J39" s="349"/>
      <c r="K39" s="350"/>
      <c r="L39" s="8"/>
      <c r="M39" s="348" t="s">
        <v>170</v>
      </c>
      <c r="N39" s="349"/>
      <c r="O39" s="349"/>
      <c r="P39" s="349"/>
      <c r="Q39" s="350"/>
      <c r="U39" s="16" t="s">
        <v>222</v>
      </c>
      <c r="V39" s="150">
        <v>468</v>
      </c>
      <c r="W39" s="93" t="s">
        <v>845</v>
      </c>
      <c r="X39" s="14">
        <f>O22</f>
        <v>9</v>
      </c>
      <c r="Y39" s="283">
        <f t="shared" si="1"/>
        <v>9</v>
      </c>
      <c r="Z39" s="14">
        <f t="shared" si="21"/>
        <v>9.25</v>
      </c>
      <c r="AA39" s="283">
        <f t="shared" si="3"/>
        <v>1</v>
      </c>
      <c r="AB39" s="212">
        <f>Table351550579[[#This Row],[Floor4]]+Table351550579[[#This Row],[Vault6]]</f>
        <v>18.25</v>
      </c>
      <c r="AC39" s="283">
        <f t="shared" si="4"/>
        <v>2</v>
      </c>
    </row>
    <row r="40" spans="1:29">
      <c r="A40" s="354" t="s">
        <v>1</v>
      </c>
      <c r="B40" s="354" t="s">
        <v>2</v>
      </c>
      <c r="C40" s="354" t="s">
        <v>3</v>
      </c>
      <c r="D40" s="354" t="s">
        <v>4</v>
      </c>
      <c r="E40" s="354" t="s">
        <v>5</v>
      </c>
      <c r="F40" s="8"/>
      <c r="G40" s="354" t="s">
        <v>1</v>
      </c>
      <c r="H40" s="354" t="s">
        <v>2</v>
      </c>
      <c r="I40" s="354" t="s">
        <v>3</v>
      </c>
      <c r="J40" s="354" t="s">
        <v>4</v>
      </c>
      <c r="K40" s="354" t="s">
        <v>5</v>
      </c>
      <c r="L40" s="8"/>
      <c r="M40" s="354" t="s">
        <v>1</v>
      </c>
      <c r="N40" s="354" t="s">
        <v>2</v>
      </c>
      <c r="O40" s="354" t="s">
        <v>3</v>
      </c>
      <c r="P40" s="354" t="s">
        <v>4</v>
      </c>
      <c r="Q40" s="354" t="s">
        <v>5</v>
      </c>
      <c r="U40" s="16" t="s">
        <v>222</v>
      </c>
      <c r="V40" s="150">
        <v>469</v>
      </c>
      <c r="W40" s="93" t="s">
        <v>846</v>
      </c>
      <c r="X40" s="14">
        <f t="shared" si="20"/>
        <v>9.15</v>
      </c>
      <c r="Y40" s="283">
        <f t="shared" si="1"/>
        <v>6</v>
      </c>
      <c r="Z40" s="14">
        <f>P23</f>
        <v>8.9</v>
      </c>
      <c r="AA40" s="283">
        <f t="shared" si="3"/>
        <v>5</v>
      </c>
      <c r="AB40" s="212">
        <f>Table351550579[[#This Row],[Floor4]]+Table351550579[[#This Row],[Vault6]]</f>
        <v>18.05</v>
      </c>
      <c r="AC40" s="283">
        <f t="shared" si="4"/>
        <v>3</v>
      </c>
    </row>
    <row r="41" spans="1:29">
      <c r="A41" s="150">
        <v>489</v>
      </c>
      <c r="B41" s="95" t="s">
        <v>1123</v>
      </c>
      <c r="C41" s="14">
        <v>8.8000000000000007</v>
      </c>
      <c r="D41" s="14">
        <v>8.3000000000000007</v>
      </c>
      <c r="E41" s="14">
        <f>SUM(C41,D41)</f>
        <v>17.100000000000001</v>
      </c>
      <c r="F41" s="8"/>
      <c r="G41" s="150">
        <v>495</v>
      </c>
      <c r="H41" s="95" t="s">
        <v>1174</v>
      </c>
      <c r="I41" s="14">
        <v>9.1</v>
      </c>
      <c r="J41" s="14">
        <v>8.5</v>
      </c>
      <c r="K41" s="14">
        <f>SUM(I41,J41)</f>
        <v>17.600000000000001</v>
      </c>
      <c r="L41" s="8"/>
      <c r="M41" s="150">
        <v>501</v>
      </c>
      <c r="N41" s="95" t="s">
        <v>1180</v>
      </c>
      <c r="O41" s="14">
        <v>8.9499999999999993</v>
      </c>
      <c r="P41" s="14">
        <v>8.35</v>
      </c>
      <c r="Q41" s="14">
        <f>SUM(O41,P41)</f>
        <v>17.299999999999997</v>
      </c>
      <c r="U41" s="16" t="s">
        <v>222</v>
      </c>
      <c r="V41" s="150">
        <v>470</v>
      </c>
      <c r="W41" s="93" t="s">
        <v>847</v>
      </c>
      <c r="X41" s="14">
        <f t="shared" si="20"/>
        <v>9.1999999999999993</v>
      </c>
      <c r="Y41" s="283">
        <f t="shared" si="1"/>
        <v>5</v>
      </c>
      <c r="Z41" s="14">
        <f t="shared" si="21"/>
        <v>9.1</v>
      </c>
      <c r="AA41" s="283">
        <f t="shared" si="3"/>
        <v>2</v>
      </c>
      <c r="AB41" s="212">
        <f>Table351550579[[#This Row],[Floor4]]+Table351550579[[#This Row],[Vault6]]</f>
        <v>18.299999999999997</v>
      </c>
      <c r="AC41" s="283">
        <f t="shared" si="4"/>
        <v>1</v>
      </c>
    </row>
    <row r="42" spans="1:29">
      <c r="A42" s="150">
        <v>490</v>
      </c>
      <c r="B42" s="95" t="s">
        <v>1118</v>
      </c>
      <c r="C42" s="14">
        <v>8.15</v>
      </c>
      <c r="D42" s="14">
        <v>8.35</v>
      </c>
      <c r="E42" s="14">
        <f t="shared" ref="E42:E46" si="22">SUM(C42,D42)</f>
        <v>16.5</v>
      </c>
      <c r="F42" s="8"/>
      <c r="G42" s="150">
        <v>496</v>
      </c>
      <c r="H42" s="95" t="s">
        <v>1175</v>
      </c>
      <c r="I42" s="14">
        <v>9.15</v>
      </c>
      <c r="J42" s="14">
        <v>8.3000000000000007</v>
      </c>
      <c r="K42" s="14">
        <f t="shared" ref="K42:K46" si="23">SUM(I42,J42)</f>
        <v>17.450000000000003</v>
      </c>
      <c r="L42" s="8"/>
      <c r="M42" s="408">
        <v>502</v>
      </c>
      <c r="N42" s="410" t="s">
        <v>1181</v>
      </c>
      <c r="O42" s="401">
        <v>0</v>
      </c>
      <c r="P42" s="401">
        <v>0</v>
      </c>
      <c r="Q42" s="401">
        <f t="shared" ref="Q42:Q46" si="24">SUM(O42,P42)</f>
        <v>0</v>
      </c>
      <c r="U42" s="16" t="s">
        <v>99</v>
      </c>
      <c r="V42" s="150">
        <v>471</v>
      </c>
      <c r="W42" s="93" t="s">
        <v>366</v>
      </c>
      <c r="X42" s="14">
        <f>C30</f>
        <v>8.5500000000000007</v>
      </c>
      <c r="Y42" s="283">
        <f t="shared" si="1"/>
        <v>17.999999999999996</v>
      </c>
      <c r="Z42" s="14">
        <f>D30</f>
        <v>8.5500000000000007</v>
      </c>
      <c r="AA42" s="283">
        <f t="shared" si="3"/>
        <v>11</v>
      </c>
      <c r="AB42" s="212">
        <f>Table351550579[[#This Row],[Floor4]]+Table351550579[[#This Row],[Vault6]]</f>
        <v>17.100000000000001</v>
      </c>
      <c r="AC42" s="283">
        <f t="shared" si="4"/>
        <v>18</v>
      </c>
    </row>
    <row r="43" spans="1:29">
      <c r="A43" s="150">
        <v>491</v>
      </c>
      <c r="B43" s="95" t="s">
        <v>1119</v>
      </c>
      <c r="C43" s="14">
        <v>8.3000000000000007</v>
      </c>
      <c r="D43" s="14">
        <v>7.4</v>
      </c>
      <c r="E43" s="14">
        <f t="shared" si="22"/>
        <v>15.700000000000001</v>
      </c>
      <c r="F43" s="8"/>
      <c r="G43" s="150">
        <v>497</v>
      </c>
      <c r="H43" s="95" t="s">
        <v>1176</v>
      </c>
      <c r="I43" s="14">
        <v>9</v>
      </c>
      <c r="J43" s="14">
        <v>8.65</v>
      </c>
      <c r="K43" s="14">
        <f t="shared" si="23"/>
        <v>17.649999999999999</v>
      </c>
      <c r="L43" s="8"/>
      <c r="M43" s="150">
        <v>503</v>
      </c>
      <c r="N43" s="95" t="s">
        <v>1182</v>
      </c>
      <c r="O43" s="14">
        <v>9.4499999999999993</v>
      </c>
      <c r="P43" s="14">
        <v>8.35</v>
      </c>
      <c r="Q43" s="14">
        <f t="shared" si="24"/>
        <v>17.799999999999997</v>
      </c>
      <c r="U43" s="16" t="s">
        <v>99</v>
      </c>
      <c r="V43" s="150">
        <v>472</v>
      </c>
      <c r="W43" s="93" t="s">
        <v>883</v>
      </c>
      <c r="X43" s="14">
        <f t="shared" ref="X43:X46" si="25">C31</f>
        <v>8.65</v>
      </c>
      <c r="Y43" s="283">
        <f t="shared" si="1"/>
        <v>15.999999999999998</v>
      </c>
      <c r="Z43" s="14">
        <f t="shared" ref="Z43:Z47" si="26">D31</f>
        <v>7.45</v>
      </c>
      <c r="AA43" s="283">
        <f t="shared" si="3"/>
        <v>21</v>
      </c>
      <c r="AB43" s="212">
        <f>Table351550579[[#This Row],[Floor4]]+Table351550579[[#This Row],[Vault6]]</f>
        <v>16.100000000000001</v>
      </c>
      <c r="AC43" s="283">
        <f t="shared" si="4"/>
        <v>35</v>
      </c>
    </row>
    <row r="44" spans="1:29">
      <c r="A44" s="150">
        <v>492</v>
      </c>
      <c r="B44" s="95" t="s">
        <v>1120</v>
      </c>
      <c r="C44" s="14">
        <v>9.35</v>
      </c>
      <c r="D44" s="14">
        <v>8.5500000000000007</v>
      </c>
      <c r="E44" s="14">
        <f t="shared" si="22"/>
        <v>17.899999999999999</v>
      </c>
      <c r="F44" s="8"/>
      <c r="G44" s="150">
        <v>498</v>
      </c>
      <c r="H44" s="95" t="s">
        <v>1177</v>
      </c>
      <c r="I44" s="14">
        <v>8.75</v>
      </c>
      <c r="J44" s="14">
        <v>8.4</v>
      </c>
      <c r="K44" s="14">
        <f t="shared" si="23"/>
        <v>17.149999999999999</v>
      </c>
      <c r="L44" s="8"/>
      <c r="M44" s="150">
        <v>504</v>
      </c>
      <c r="N44" s="95" t="s">
        <v>1183</v>
      </c>
      <c r="O44" s="14">
        <v>9.35</v>
      </c>
      <c r="P44" s="14">
        <v>8.3000000000000007</v>
      </c>
      <c r="Q44" s="14">
        <f t="shared" si="24"/>
        <v>17.649999999999999</v>
      </c>
      <c r="U44" s="16" t="s">
        <v>99</v>
      </c>
      <c r="V44" s="150">
        <v>473</v>
      </c>
      <c r="W44" s="93" t="s">
        <v>884</v>
      </c>
      <c r="X44" s="14">
        <f t="shared" si="25"/>
        <v>8.5</v>
      </c>
      <c r="Y44" s="283">
        <f t="shared" si="1"/>
        <v>19</v>
      </c>
      <c r="Z44" s="14">
        <f t="shared" si="26"/>
        <v>8.4499999999999993</v>
      </c>
      <c r="AA44" s="283">
        <f t="shared" si="3"/>
        <v>13</v>
      </c>
      <c r="AB44" s="212">
        <f>Table351550579[[#This Row],[Floor4]]+Table351550579[[#This Row],[Vault6]]</f>
        <v>16.95</v>
      </c>
      <c r="AC44" s="283">
        <f t="shared" si="4"/>
        <v>20.999999999999996</v>
      </c>
    </row>
    <row r="45" spans="1:29">
      <c r="A45" s="150">
        <v>493</v>
      </c>
      <c r="B45" s="95" t="s">
        <v>1121</v>
      </c>
      <c r="C45" s="14">
        <v>8.0500000000000007</v>
      </c>
      <c r="D45" s="14">
        <v>6</v>
      </c>
      <c r="E45" s="14">
        <f t="shared" si="22"/>
        <v>14.05</v>
      </c>
      <c r="F45" s="8"/>
      <c r="G45" s="150">
        <v>499</v>
      </c>
      <c r="H45" s="95" t="s">
        <v>1178</v>
      </c>
      <c r="I45" s="14">
        <v>8.35</v>
      </c>
      <c r="J45" s="14">
        <v>8.5</v>
      </c>
      <c r="K45" s="14">
        <f t="shared" si="23"/>
        <v>16.850000000000001</v>
      </c>
      <c r="L45" s="8"/>
      <c r="M45" s="150">
        <v>505</v>
      </c>
      <c r="N45" s="95" t="s">
        <v>1184</v>
      </c>
      <c r="O45" s="14">
        <v>9.3000000000000007</v>
      </c>
      <c r="P45" s="14">
        <v>8.5</v>
      </c>
      <c r="Q45" s="14">
        <f t="shared" si="24"/>
        <v>17.8</v>
      </c>
      <c r="U45" s="16" t="s">
        <v>99</v>
      </c>
      <c r="V45" s="150">
        <v>474</v>
      </c>
      <c r="W45" s="93" t="s">
        <v>365</v>
      </c>
      <c r="X45" s="14">
        <f>C33</f>
        <v>9.65</v>
      </c>
      <c r="Y45" s="283">
        <f t="shared" si="1"/>
        <v>1</v>
      </c>
      <c r="Z45" s="14">
        <f>D33</f>
        <v>7.4</v>
      </c>
      <c r="AA45" s="283">
        <f t="shared" si="3"/>
        <v>22</v>
      </c>
      <c r="AB45" s="212">
        <f>Table351550579[[#This Row],[Floor4]]+Table351550579[[#This Row],[Vault6]]</f>
        <v>17.05</v>
      </c>
      <c r="AC45" s="283">
        <f t="shared" si="4"/>
        <v>19</v>
      </c>
    </row>
    <row r="46" spans="1:29" ht="16.5" thickBot="1">
      <c r="A46" s="150">
        <v>494</v>
      </c>
      <c r="B46" s="95" t="s">
        <v>1122</v>
      </c>
      <c r="C46" s="14">
        <v>8.4499999999999993</v>
      </c>
      <c r="D46" s="14">
        <v>8.4499999999999993</v>
      </c>
      <c r="E46" s="14">
        <f t="shared" si="22"/>
        <v>16.899999999999999</v>
      </c>
      <c r="F46" s="8"/>
      <c r="G46" s="150">
        <v>500</v>
      </c>
      <c r="H46" s="95" t="s">
        <v>1179</v>
      </c>
      <c r="I46" s="14">
        <v>8.4</v>
      </c>
      <c r="J46" s="14">
        <v>8.75</v>
      </c>
      <c r="K46" s="14">
        <f t="shared" si="23"/>
        <v>17.149999999999999</v>
      </c>
      <c r="L46" s="8"/>
      <c r="M46" s="150">
        <v>506</v>
      </c>
      <c r="N46" s="95" t="s">
        <v>1185</v>
      </c>
      <c r="O46" s="14">
        <v>8.9499999999999993</v>
      </c>
      <c r="P46" s="14">
        <v>8.65</v>
      </c>
      <c r="Q46" s="14">
        <f t="shared" si="24"/>
        <v>17.600000000000001</v>
      </c>
      <c r="U46" s="16" t="s">
        <v>99</v>
      </c>
      <c r="V46" s="150">
        <v>475</v>
      </c>
      <c r="W46" s="93" t="s">
        <v>885</v>
      </c>
      <c r="X46" s="14">
        <f t="shared" si="25"/>
        <v>8.9499999999999993</v>
      </c>
      <c r="Y46" s="283">
        <f t="shared" si="1"/>
        <v>10</v>
      </c>
      <c r="Z46" s="14">
        <f>D34</f>
        <v>8.1999999999999993</v>
      </c>
      <c r="AA46" s="283">
        <f t="shared" si="3"/>
        <v>17.999999999999989</v>
      </c>
      <c r="AB46" s="212">
        <f>Table351550579[[#This Row],[Floor4]]+Table351550579[[#This Row],[Vault6]]</f>
        <v>17.149999999999999</v>
      </c>
      <c r="AC46" s="283">
        <f t="shared" si="4"/>
        <v>17</v>
      </c>
    </row>
    <row r="47" spans="1:29" ht="16.5" thickBot="1">
      <c r="A47" s="8"/>
      <c r="B47" s="18" t="s">
        <v>10</v>
      </c>
      <c r="C47" s="19">
        <f>SUM(C41:C46)-SMALL(C41:C46,1)-SMALL(C41:C46,2)</f>
        <v>34.900000000000013</v>
      </c>
      <c r="D47" s="19">
        <f>SUM(D41:D46)-SMALL(D41:D46,1)-SMALL(D41:D46,2)</f>
        <v>33.65</v>
      </c>
      <c r="E47" s="20">
        <f>SUM(C47:D47)</f>
        <v>68.550000000000011</v>
      </c>
      <c r="F47" s="8"/>
      <c r="G47" s="8"/>
      <c r="H47" s="18" t="s">
        <v>10</v>
      </c>
      <c r="I47" s="19">
        <f>SUM(I41:I46)-SMALL(I41:I46,1)-SMALL(I41:I46,2)</f>
        <v>36</v>
      </c>
      <c r="J47" s="19">
        <f>SUM(J41:J46)-SMALL(J41:J46,1)-SMALL(J41:J46,2)</f>
        <v>34.4</v>
      </c>
      <c r="K47" s="20">
        <f>SUM(I47:J47)</f>
        <v>70.400000000000006</v>
      </c>
      <c r="L47" s="8"/>
      <c r="M47" s="8"/>
      <c r="N47" s="18" t="s">
        <v>10</v>
      </c>
      <c r="O47" s="19">
        <f>SUM(O41:O46)-SMALL(O41:O46,1)-SMALL(O41:O46,2)</f>
        <v>37.049999999999997</v>
      </c>
      <c r="P47" s="19">
        <f>SUM(P41:P46)-SMALL(P41:P46,1)-SMALL(P41:P46,2)</f>
        <v>33.849999999999994</v>
      </c>
      <c r="Q47" s="20">
        <f>SUM(O47:P47)</f>
        <v>70.899999999999991</v>
      </c>
      <c r="U47" s="16" t="s">
        <v>99</v>
      </c>
      <c r="V47" s="150">
        <v>476</v>
      </c>
      <c r="W47" s="100" t="s">
        <v>886</v>
      </c>
      <c r="X47" s="14">
        <f>C35</f>
        <v>8.3000000000000007</v>
      </c>
      <c r="Y47" s="283">
        <f t="shared" si="1"/>
        <v>23.000000000000004</v>
      </c>
      <c r="Z47" s="14">
        <f t="shared" si="26"/>
        <v>8.35</v>
      </c>
      <c r="AA47" s="283">
        <f t="shared" si="3"/>
        <v>14.999999999999998</v>
      </c>
      <c r="AB47" s="212">
        <f>Table351550579[[#This Row],[Floor4]]+Table351550579[[#This Row],[Vault6]]</f>
        <v>16.649999999999999</v>
      </c>
      <c r="AC47" s="283">
        <f t="shared" si="4"/>
        <v>26.999999999999989</v>
      </c>
    </row>
    <row r="48" spans="1:29">
      <c r="A48" s="8"/>
      <c r="B48" s="360" t="s">
        <v>37</v>
      </c>
      <c r="C48" s="8"/>
      <c r="D48" s="18"/>
      <c r="E48" s="22"/>
      <c r="F48" s="8"/>
      <c r="G48" s="8"/>
      <c r="H48" s="360" t="s">
        <v>37</v>
      </c>
      <c r="I48" s="8"/>
      <c r="J48" s="18"/>
      <c r="K48" s="22"/>
      <c r="L48" s="8"/>
      <c r="M48" s="8"/>
      <c r="N48" s="360" t="s">
        <v>37</v>
      </c>
      <c r="O48" s="8"/>
      <c r="P48" s="18"/>
      <c r="Q48" s="22"/>
      <c r="U48" s="16" t="s">
        <v>909</v>
      </c>
      <c r="V48" s="150">
        <v>521</v>
      </c>
      <c r="W48" s="93" t="s">
        <v>911</v>
      </c>
      <c r="X48" s="14">
        <f>I63</f>
        <v>9.1</v>
      </c>
      <c r="Y48" s="283">
        <f t="shared" si="1"/>
        <v>7</v>
      </c>
      <c r="Z48" s="14">
        <f>J63</f>
        <v>8.6</v>
      </c>
      <c r="AA48" s="283">
        <f t="shared" si="3"/>
        <v>9.9999999999999982</v>
      </c>
      <c r="AB48" s="212">
        <f>Table351550579[[#This Row],[Floor4]]+Table351550579[[#This Row],[Vault6]]</f>
        <v>17.7</v>
      </c>
      <c r="AC48" s="283">
        <f t="shared" si="4"/>
        <v>7.9999999999999991</v>
      </c>
    </row>
    <row r="49" spans="1:2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Q49" s="1"/>
      <c r="U49" s="406" t="s">
        <v>917</v>
      </c>
      <c r="V49" s="408">
        <v>522</v>
      </c>
      <c r="W49" s="406" t="s">
        <v>942</v>
      </c>
      <c r="X49" s="401">
        <f>C68</f>
        <v>0</v>
      </c>
      <c r="Y49" s="402">
        <f t="shared" si="1"/>
        <v>37.999999999999993</v>
      </c>
      <c r="Z49" s="401">
        <f>D68</f>
        <v>0</v>
      </c>
      <c r="AA49" s="402">
        <f t="shared" si="3"/>
        <v>27.000000000000011</v>
      </c>
      <c r="AB49" s="413">
        <f>Table351550579[[#This Row],[Floor4]]+Table351550579[[#This Row],[Vault6]]</f>
        <v>0</v>
      </c>
      <c r="AC49" s="402">
        <f t="shared" si="4"/>
        <v>48.000000000000036</v>
      </c>
    </row>
    <row r="50" spans="1:29">
      <c r="A50" s="348" t="s">
        <v>1194</v>
      </c>
      <c r="B50" s="349"/>
      <c r="C50" s="349"/>
      <c r="D50" s="349"/>
      <c r="E50" s="350"/>
      <c r="F50" s="8"/>
      <c r="G50" s="348" t="s">
        <v>511</v>
      </c>
      <c r="H50" s="349"/>
      <c r="I50" s="349"/>
      <c r="J50" s="349"/>
      <c r="K50" s="350"/>
      <c r="L50" s="267"/>
      <c r="N50" s="39" t="s">
        <v>12</v>
      </c>
      <c r="O50" s="43" t="s">
        <v>5</v>
      </c>
      <c r="P50" s="44" t="s">
        <v>11</v>
      </c>
      <c r="U50" s="16" t="s">
        <v>917</v>
      </c>
      <c r="V50" s="150">
        <v>523</v>
      </c>
      <c r="W50" s="16" t="s">
        <v>941</v>
      </c>
      <c r="X50" s="14">
        <f>C69</f>
        <v>7.15</v>
      </c>
      <c r="Y50" s="283">
        <f t="shared" si="1"/>
        <v>36.999999999999993</v>
      </c>
      <c r="Z50" s="14">
        <f>D69</f>
        <v>8.4</v>
      </c>
      <c r="AA50" s="283">
        <f t="shared" si="3"/>
        <v>13.999999999999998</v>
      </c>
      <c r="AB50" s="212">
        <f>Table351550579[[#This Row],[Floor4]]+Table351550579[[#This Row],[Vault6]]</f>
        <v>15.55</v>
      </c>
      <c r="AC50" s="283">
        <f t="shared" si="4"/>
        <v>41.000000000000028</v>
      </c>
    </row>
    <row r="51" spans="1:29">
      <c r="A51" s="354" t="s">
        <v>1</v>
      </c>
      <c r="B51" s="354" t="s">
        <v>2</v>
      </c>
      <c r="C51" s="354" t="s">
        <v>3</v>
      </c>
      <c r="D51" s="354" t="s">
        <v>4</v>
      </c>
      <c r="E51" s="354" t="s">
        <v>5</v>
      </c>
      <c r="F51" s="8"/>
      <c r="G51" s="354" t="s">
        <v>1</v>
      </c>
      <c r="H51" s="354" t="s">
        <v>2</v>
      </c>
      <c r="I51" s="354" t="s">
        <v>3</v>
      </c>
      <c r="J51" s="354" t="s">
        <v>4</v>
      </c>
      <c r="K51" s="354" t="s">
        <v>5</v>
      </c>
      <c r="L51" s="267"/>
      <c r="N51" s="266" t="s">
        <v>1276</v>
      </c>
      <c r="O51" s="47">
        <f>E14</f>
        <v>67.5</v>
      </c>
      <c r="P51" s="40">
        <f>SUMPRODUCT((O$51:O$64&gt;O51)/COUNTIF(O$51:O$64,O$51:O$64&amp;""))+1</f>
        <v>10</v>
      </c>
      <c r="U51" s="16" t="s">
        <v>391</v>
      </c>
      <c r="V51" s="150">
        <v>477</v>
      </c>
      <c r="W51" s="93" t="s">
        <v>1035</v>
      </c>
      <c r="X51" s="14">
        <f>I30</f>
        <v>8.85</v>
      </c>
      <c r="Y51" s="283">
        <f t="shared" si="1"/>
        <v>11.999999999999998</v>
      </c>
      <c r="Z51" s="14">
        <f>J30</f>
        <v>8.35</v>
      </c>
      <c r="AA51" s="283">
        <f t="shared" si="3"/>
        <v>14.999999999999998</v>
      </c>
      <c r="AB51" s="212">
        <f>Table351550579[[#This Row],[Floor4]]+Table351550579[[#This Row],[Vault6]]</f>
        <v>17.2</v>
      </c>
      <c r="AC51" s="283">
        <f t="shared" si="4"/>
        <v>16</v>
      </c>
    </row>
    <row r="52" spans="1:29">
      <c r="A52" s="150">
        <v>507</v>
      </c>
      <c r="B52" s="95" t="s">
        <v>1218</v>
      </c>
      <c r="C52" s="14">
        <v>0</v>
      </c>
      <c r="D52" s="14">
        <v>7.2</v>
      </c>
      <c r="E52" s="14">
        <f>SUM(C52,D52)</f>
        <v>7.2</v>
      </c>
      <c r="F52" s="8"/>
      <c r="G52" s="150">
        <v>513</v>
      </c>
      <c r="H52" s="95" t="s">
        <v>1245</v>
      </c>
      <c r="I52" s="14">
        <v>8.9</v>
      </c>
      <c r="J52" s="14">
        <v>8.4</v>
      </c>
      <c r="K52" s="14">
        <f>SUM(I52,J52)</f>
        <v>17.3</v>
      </c>
      <c r="L52" s="267"/>
      <c r="N52" s="45" t="s">
        <v>558</v>
      </c>
      <c r="O52" s="47">
        <f>K14</f>
        <v>68.850000000000009</v>
      </c>
      <c r="P52" s="40">
        <f t="shared" ref="P52:P64" si="27">SUMPRODUCT((O$51:O$64&gt;O52)/COUNTIF(O$51:O$64,O$51:O$64&amp;""))+1</f>
        <v>7</v>
      </c>
      <c r="U52" s="16" t="s">
        <v>391</v>
      </c>
      <c r="V52" s="150">
        <v>478</v>
      </c>
      <c r="W52" s="93" t="s">
        <v>1036</v>
      </c>
      <c r="X52" s="14">
        <f t="shared" ref="X52:X56" si="28">I31</f>
        <v>8.25</v>
      </c>
      <c r="Y52" s="283">
        <f t="shared" si="1"/>
        <v>24.000000000000004</v>
      </c>
      <c r="Z52" s="14">
        <f t="shared" ref="Z52:Z56" si="29">J31</f>
        <v>8.4499999999999993</v>
      </c>
      <c r="AA52" s="283">
        <f t="shared" si="3"/>
        <v>13</v>
      </c>
      <c r="AB52" s="212">
        <f>Table351550579[[#This Row],[Floor4]]+Table351550579[[#This Row],[Vault6]]</f>
        <v>16.7</v>
      </c>
      <c r="AC52" s="283">
        <f t="shared" si="4"/>
        <v>25.999999999999989</v>
      </c>
    </row>
    <row r="53" spans="1:29">
      <c r="A53" s="150">
        <v>508</v>
      </c>
      <c r="B53" s="95" t="s">
        <v>1219</v>
      </c>
      <c r="C53" s="14">
        <v>7.95</v>
      </c>
      <c r="D53" s="14">
        <v>8.6999999999999993</v>
      </c>
      <c r="E53" s="14">
        <f t="shared" ref="E53:E57" si="30">SUM(C53,D53)</f>
        <v>16.649999999999999</v>
      </c>
      <c r="F53" s="8"/>
      <c r="G53" s="150">
        <v>514</v>
      </c>
      <c r="H53" s="95" t="s">
        <v>526</v>
      </c>
      <c r="I53" s="14">
        <v>8.9499999999999993</v>
      </c>
      <c r="J53" s="14">
        <v>9</v>
      </c>
      <c r="K53" s="14">
        <f t="shared" ref="K53:K57" si="31">SUM(I53,J53)</f>
        <v>17.95</v>
      </c>
      <c r="L53" s="267"/>
      <c r="N53" s="266" t="s">
        <v>553</v>
      </c>
      <c r="O53" s="47">
        <f>Q14</f>
        <v>63.400000000000006</v>
      </c>
      <c r="P53" s="40">
        <f t="shared" si="27"/>
        <v>12</v>
      </c>
      <c r="U53" s="16" t="s">
        <v>391</v>
      </c>
      <c r="V53" s="150">
        <v>479</v>
      </c>
      <c r="W53" s="93" t="s">
        <v>1037</v>
      </c>
      <c r="X53" s="14">
        <f>I32</f>
        <v>8.4499999999999993</v>
      </c>
      <c r="Y53" s="283">
        <f t="shared" si="1"/>
        <v>20.000000000000004</v>
      </c>
      <c r="Z53" s="14">
        <f t="shared" si="29"/>
        <v>8.3000000000000007</v>
      </c>
      <c r="AA53" s="283">
        <f t="shared" si="3"/>
        <v>15.999999999999996</v>
      </c>
      <c r="AB53" s="212">
        <f>Table351550579[[#This Row],[Floor4]]+Table351550579[[#This Row],[Vault6]]</f>
        <v>16.75</v>
      </c>
      <c r="AC53" s="283">
        <f t="shared" si="4"/>
        <v>24.999999999999993</v>
      </c>
    </row>
    <row r="54" spans="1:29">
      <c r="A54" s="150">
        <v>509</v>
      </c>
      <c r="B54" s="95" t="s">
        <v>1220</v>
      </c>
      <c r="C54" s="14">
        <v>0</v>
      </c>
      <c r="D54" s="14">
        <v>8.25</v>
      </c>
      <c r="E54" s="14">
        <f t="shared" si="30"/>
        <v>8.25</v>
      </c>
      <c r="F54" s="8"/>
      <c r="G54" s="150">
        <v>515</v>
      </c>
      <c r="H54" s="95" t="s">
        <v>527</v>
      </c>
      <c r="I54" s="14">
        <v>8.9499999999999993</v>
      </c>
      <c r="J54" s="14">
        <v>9.0500000000000007</v>
      </c>
      <c r="K54" s="14">
        <f t="shared" si="31"/>
        <v>18</v>
      </c>
      <c r="L54" s="267"/>
      <c r="N54" s="266" t="s">
        <v>1275</v>
      </c>
      <c r="O54" s="47">
        <f>E25</f>
        <v>69.05</v>
      </c>
      <c r="P54" s="40">
        <f t="shared" si="27"/>
        <v>6</v>
      </c>
      <c r="U54" s="16" t="s">
        <v>391</v>
      </c>
      <c r="V54" s="150">
        <v>480</v>
      </c>
      <c r="W54" s="93" t="s">
        <v>1038</v>
      </c>
      <c r="X54" s="14">
        <f t="shared" si="28"/>
        <v>8.4499999999999993</v>
      </c>
      <c r="Y54" s="283">
        <f t="shared" si="1"/>
        <v>20.000000000000004</v>
      </c>
      <c r="Z54" s="14">
        <f t="shared" si="29"/>
        <v>8.65</v>
      </c>
      <c r="AA54" s="283">
        <f t="shared" si="3"/>
        <v>9</v>
      </c>
      <c r="AB54" s="212">
        <f>Table351550579[[#This Row],[Floor4]]+Table351550579[[#This Row],[Vault6]]</f>
        <v>17.100000000000001</v>
      </c>
      <c r="AC54" s="283">
        <f t="shared" si="4"/>
        <v>18</v>
      </c>
    </row>
    <row r="55" spans="1:29">
      <c r="A55" s="150">
        <v>510</v>
      </c>
      <c r="B55" s="95" t="s">
        <v>1221</v>
      </c>
      <c r="C55" s="14">
        <v>8.25</v>
      </c>
      <c r="D55" s="14">
        <v>8.25</v>
      </c>
      <c r="E55" s="14">
        <f t="shared" si="30"/>
        <v>16.5</v>
      </c>
      <c r="F55" s="8"/>
      <c r="G55" s="150">
        <v>516</v>
      </c>
      <c r="H55" s="95" t="s">
        <v>1246</v>
      </c>
      <c r="I55" s="14">
        <v>9.1</v>
      </c>
      <c r="J55" s="14">
        <v>8.4499999999999993</v>
      </c>
      <c r="K55" s="14">
        <f t="shared" si="31"/>
        <v>17.549999999999997</v>
      </c>
      <c r="L55" s="267"/>
      <c r="N55" s="266" t="s">
        <v>556</v>
      </c>
      <c r="O55" s="47">
        <f>K25</f>
        <v>66.849999999999994</v>
      </c>
      <c r="P55" s="40">
        <f t="shared" si="27"/>
        <v>11</v>
      </c>
      <c r="U55" s="16" t="s">
        <v>391</v>
      </c>
      <c r="V55" s="150">
        <v>481</v>
      </c>
      <c r="W55" s="93" t="s">
        <v>1039</v>
      </c>
      <c r="X55" s="14">
        <f t="shared" si="28"/>
        <v>8.1</v>
      </c>
      <c r="Y55" s="283">
        <f t="shared" si="1"/>
        <v>27.000000000000007</v>
      </c>
      <c r="Z55" s="14">
        <f>J34</f>
        <v>8.5</v>
      </c>
      <c r="AA55" s="283">
        <f t="shared" si="3"/>
        <v>12</v>
      </c>
      <c r="AB55" s="212">
        <f>Table351550579[[#This Row],[Floor4]]+Table351550579[[#This Row],[Vault6]]</f>
        <v>16.600000000000001</v>
      </c>
      <c r="AC55" s="283">
        <f t="shared" si="4"/>
        <v>27.999999999999989</v>
      </c>
    </row>
    <row r="56" spans="1:29">
      <c r="A56" s="150">
        <v>511</v>
      </c>
      <c r="B56" s="95" t="s">
        <v>1222</v>
      </c>
      <c r="C56" s="14">
        <v>8.25</v>
      </c>
      <c r="D56" s="14">
        <v>8.5</v>
      </c>
      <c r="E56" s="14">
        <f t="shared" si="30"/>
        <v>16.75</v>
      </c>
      <c r="F56" s="8"/>
      <c r="G56" s="150">
        <v>517</v>
      </c>
      <c r="H56" s="95" t="s">
        <v>1247</v>
      </c>
      <c r="I56" s="14">
        <v>9.0500000000000007</v>
      </c>
      <c r="J56" s="14">
        <v>8.25</v>
      </c>
      <c r="K56" s="14">
        <f t="shared" si="31"/>
        <v>17.3</v>
      </c>
      <c r="L56" s="267"/>
      <c r="N56" s="45" t="s">
        <v>157</v>
      </c>
      <c r="O56" s="47">
        <f>Q25</f>
        <v>72.300000000000011</v>
      </c>
      <c r="P56" s="40">
        <f t="shared" si="27"/>
        <v>1</v>
      </c>
      <c r="U56" s="16" t="s">
        <v>391</v>
      </c>
      <c r="V56" s="150">
        <v>482</v>
      </c>
      <c r="W56" s="100" t="s">
        <v>1040</v>
      </c>
      <c r="X56" s="14">
        <f t="shared" si="28"/>
        <v>7.85</v>
      </c>
      <c r="Y56" s="283">
        <f t="shared" si="1"/>
        <v>32</v>
      </c>
      <c r="Z56" s="14">
        <f t="shared" si="29"/>
        <v>8.15</v>
      </c>
      <c r="AA56" s="283">
        <f t="shared" si="3"/>
        <v>18.999999999999993</v>
      </c>
      <c r="AB56" s="212">
        <f>Table351550579[[#This Row],[Floor4]]+Table351550579[[#This Row],[Vault6]]</f>
        <v>16</v>
      </c>
      <c r="AC56" s="283">
        <f t="shared" si="4"/>
        <v>37.000000000000007</v>
      </c>
    </row>
    <row r="57" spans="1:29" ht="16.5" thickBot="1">
      <c r="A57" s="150">
        <v>512</v>
      </c>
      <c r="B57" s="359"/>
      <c r="C57" s="14">
        <v>0</v>
      </c>
      <c r="D57" s="14">
        <v>0</v>
      </c>
      <c r="E57" s="14">
        <f t="shared" si="30"/>
        <v>0</v>
      </c>
      <c r="F57" s="8"/>
      <c r="G57" s="150">
        <v>518</v>
      </c>
      <c r="H57" s="95" t="s">
        <v>1248</v>
      </c>
      <c r="I57" s="14">
        <v>8.6999999999999993</v>
      </c>
      <c r="J57" s="14">
        <v>8.6</v>
      </c>
      <c r="K57" s="14">
        <f t="shared" si="31"/>
        <v>17.299999999999997</v>
      </c>
      <c r="L57" s="8"/>
      <c r="N57" s="45" t="s">
        <v>369</v>
      </c>
      <c r="O57" s="47">
        <f>E36</f>
        <v>69.349999999999994</v>
      </c>
      <c r="P57" s="40">
        <f t="shared" si="27"/>
        <v>5</v>
      </c>
      <c r="U57" s="16" t="s">
        <v>391</v>
      </c>
      <c r="V57" s="150">
        <v>483</v>
      </c>
      <c r="W57" s="93" t="s">
        <v>1041</v>
      </c>
      <c r="X57" s="14">
        <f>O30</f>
        <v>8.85</v>
      </c>
      <c r="Y57" s="283">
        <f t="shared" si="1"/>
        <v>11.999999999999998</v>
      </c>
      <c r="Z57" s="14">
        <f>P30</f>
        <v>7.4</v>
      </c>
      <c r="AA57" s="283">
        <f t="shared" si="3"/>
        <v>22</v>
      </c>
      <c r="AB57" s="212">
        <f>Table351550579[[#This Row],[Floor4]]+Table351550579[[#This Row],[Vault6]]</f>
        <v>16.25</v>
      </c>
      <c r="AC57" s="283">
        <f t="shared" si="4"/>
        <v>32.999999999999986</v>
      </c>
    </row>
    <row r="58" spans="1:29" ht="16.5" thickBot="1">
      <c r="A58" s="8"/>
      <c r="B58" s="18" t="s">
        <v>10</v>
      </c>
      <c r="C58" s="19">
        <f>SUM(C52:C57)-SMALL(C52:C57,1)-SMALL(C52:C57,2)</f>
        <v>24.45</v>
      </c>
      <c r="D58" s="19">
        <f>SUM(D52:D57)-SMALL(D52:D57,1)-SMALL(D52:D57,2)</f>
        <v>33.699999999999996</v>
      </c>
      <c r="E58" s="20">
        <f>SUM(C58:D58)</f>
        <v>58.149999999999991</v>
      </c>
      <c r="F58" s="8"/>
      <c r="G58" s="8"/>
      <c r="H58" s="18" t="s">
        <v>10</v>
      </c>
      <c r="I58" s="19">
        <f>SUM(I52:I57)-SMALL(I52:I57,1)-SMALL(I52:I57,2)</f>
        <v>36.050000000000004</v>
      </c>
      <c r="J58" s="19">
        <f>SUM(J52:J57)-SMALL(J52:J57,1)-SMALL(J52:J57,2)</f>
        <v>35.1</v>
      </c>
      <c r="K58" s="20">
        <f>SUM(I58:J58)</f>
        <v>71.150000000000006</v>
      </c>
      <c r="L58" s="8"/>
      <c r="N58" s="45" t="s">
        <v>539</v>
      </c>
      <c r="O58" s="47">
        <f>K36</f>
        <v>67.95</v>
      </c>
      <c r="P58" s="40">
        <f t="shared" si="27"/>
        <v>9</v>
      </c>
      <c r="U58" s="16" t="s">
        <v>391</v>
      </c>
      <c r="V58" s="150">
        <v>484</v>
      </c>
      <c r="W58" s="93" t="s">
        <v>1042</v>
      </c>
      <c r="X58" s="14">
        <f t="shared" ref="X58:X62" si="32">O31</f>
        <v>9.3000000000000007</v>
      </c>
      <c r="Y58" s="283">
        <f t="shared" si="1"/>
        <v>4</v>
      </c>
      <c r="Z58" s="14">
        <f t="shared" ref="Z58:Z62" si="33">P31</f>
        <v>7</v>
      </c>
      <c r="AA58" s="283">
        <f t="shared" si="3"/>
        <v>25.000000000000011</v>
      </c>
      <c r="AB58" s="212">
        <f>Table351550579[[#This Row],[Floor4]]+Table351550579[[#This Row],[Vault6]]</f>
        <v>16.3</v>
      </c>
      <c r="AC58" s="283">
        <f t="shared" si="4"/>
        <v>31.999999999999986</v>
      </c>
    </row>
    <row r="59" spans="1:29">
      <c r="A59" s="8"/>
      <c r="B59" s="360" t="s">
        <v>37</v>
      </c>
      <c r="C59" s="8"/>
      <c r="D59" s="18"/>
      <c r="E59" s="22"/>
      <c r="F59" s="8"/>
      <c r="G59" s="8"/>
      <c r="H59" s="360" t="s">
        <v>37</v>
      </c>
      <c r="I59" s="8"/>
      <c r="J59" s="18"/>
      <c r="K59" s="22"/>
      <c r="L59" s="8"/>
      <c r="N59" s="45" t="s">
        <v>540</v>
      </c>
      <c r="O59" s="47">
        <f>Q36</f>
        <v>68.849999999999994</v>
      </c>
      <c r="P59" s="40">
        <f t="shared" si="27"/>
        <v>7</v>
      </c>
      <c r="U59" s="16" t="s">
        <v>391</v>
      </c>
      <c r="V59" s="150">
        <v>485</v>
      </c>
      <c r="W59" s="93" t="s">
        <v>1043</v>
      </c>
      <c r="X59" s="14">
        <f t="shared" si="32"/>
        <v>7.6</v>
      </c>
      <c r="Y59" s="283">
        <f t="shared" si="1"/>
        <v>33.999999999999993</v>
      </c>
      <c r="Z59" s="14">
        <f t="shared" si="33"/>
        <v>8.4499999999999993</v>
      </c>
      <c r="AA59" s="283">
        <f t="shared" si="3"/>
        <v>13</v>
      </c>
      <c r="AB59" s="212">
        <f>Table351550579[[#This Row],[Floor4]]+Table351550579[[#This Row],[Vault6]]</f>
        <v>16.049999999999997</v>
      </c>
      <c r="AC59" s="283">
        <f t="shared" si="4"/>
        <v>36</v>
      </c>
    </row>
    <row r="60" spans="1:29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N60" s="45" t="s">
        <v>219</v>
      </c>
      <c r="O60" s="46">
        <f>E47</f>
        <v>68.550000000000011</v>
      </c>
      <c r="P60" s="40">
        <f t="shared" si="27"/>
        <v>8</v>
      </c>
      <c r="Q60" s="1"/>
      <c r="U60" s="16" t="s">
        <v>391</v>
      </c>
      <c r="V60" s="150">
        <v>486</v>
      </c>
      <c r="W60" s="93" t="s">
        <v>1044</v>
      </c>
      <c r="X60" s="14">
        <f t="shared" si="32"/>
        <v>8.1</v>
      </c>
      <c r="Y60" s="283">
        <f t="shared" si="1"/>
        <v>27.000000000000007</v>
      </c>
      <c r="Z60" s="14">
        <f>P33</f>
        <v>8.85</v>
      </c>
      <c r="AA60" s="283">
        <f t="shared" si="3"/>
        <v>6</v>
      </c>
      <c r="AB60" s="212">
        <f>Table351550579[[#This Row],[Floor4]]+Table351550579[[#This Row],[Vault6]]</f>
        <v>16.95</v>
      </c>
      <c r="AC60" s="283">
        <f t="shared" si="4"/>
        <v>20.999999999999996</v>
      </c>
    </row>
    <row r="61" spans="1:29">
      <c r="A61" s="146" t="s">
        <v>1306</v>
      </c>
      <c r="B61" s="349"/>
      <c r="C61" s="349"/>
      <c r="D61" s="349"/>
      <c r="E61" s="350"/>
      <c r="F61" s="8"/>
      <c r="G61" s="348" t="s">
        <v>1324</v>
      </c>
      <c r="H61" s="349"/>
      <c r="I61" s="349"/>
      <c r="J61" s="349"/>
      <c r="K61" s="350"/>
      <c r="L61" s="8"/>
      <c r="N61" s="45" t="s">
        <v>171</v>
      </c>
      <c r="O61" s="46">
        <f>K47</f>
        <v>70.400000000000006</v>
      </c>
      <c r="P61" s="40">
        <f t="shared" si="27"/>
        <v>4</v>
      </c>
      <c r="Q61" s="137"/>
      <c r="U61" s="16" t="s">
        <v>391</v>
      </c>
      <c r="V61" s="150">
        <v>487</v>
      </c>
      <c r="W61" s="93" t="s">
        <v>1045</v>
      </c>
      <c r="X61" s="14">
        <f>O34</f>
        <v>8.65</v>
      </c>
      <c r="Y61" s="283">
        <f t="shared" si="1"/>
        <v>15.999999999999998</v>
      </c>
      <c r="Z61" s="14">
        <f t="shared" si="33"/>
        <v>7.3</v>
      </c>
      <c r="AA61" s="283">
        <f t="shared" si="3"/>
        <v>23</v>
      </c>
      <c r="AB61" s="212">
        <f>Table351550579[[#This Row],[Floor4]]+Table351550579[[#This Row],[Vault6]]</f>
        <v>15.95</v>
      </c>
      <c r="AC61" s="283">
        <f t="shared" si="4"/>
        <v>38.000000000000007</v>
      </c>
    </row>
    <row r="62" spans="1:29">
      <c r="A62" s="354" t="s">
        <v>1</v>
      </c>
      <c r="B62" s="354" t="s">
        <v>2</v>
      </c>
      <c r="C62" s="354" t="s">
        <v>3</v>
      </c>
      <c r="D62" s="354" t="s">
        <v>4</v>
      </c>
      <c r="E62" s="354" t="s">
        <v>5</v>
      </c>
      <c r="F62" s="8"/>
      <c r="G62" s="354" t="s">
        <v>1</v>
      </c>
      <c r="H62" s="354" t="s">
        <v>2</v>
      </c>
      <c r="I62" s="354" t="s">
        <v>3</v>
      </c>
      <c r="J62" s="354" t="s">
        <v>4</v>
      </c>
      <c r="K62" s="354" t="s">
        <v>5</v>
      </c>
      <c r="L62" s="8"/>
      <c r="N62" s="45" t="s">
        <v>170</v>
      </c>
      <c r="O62" s="46">
        <f>Q47</f>
        <v>70.899999999999991</v>
      </c>
      <c r="P62" s="40">
        <f t="shared" si="27"/>
        <v>3</v>
      </c>
      <c r="Q62" s="158"/>
      <c r="U62" s="16" t="s">
        <v>391</v>
      </c>
      <c r="V62" s="150">
        <v>488</v>
      </c>
      <c r="W62" s="93" t="s">
        <v>1046</v>
      </c>
      <c r="X62" s="14">
        <f t="shared" si="32"/>
        <v>8.85</v>
      </c>
      <c r="Y62" s="283">
        <f t="shared" si="1"/>
        <v>11.999999999999998</v>
      </c>
      <c r="Z62" s="14">
        <f t="shared" si="33"/>
        <v>8.5</v>
      </c>
      <c r="AA62" s="283">
        <f t="shared" si="3"/>
        <v>12</v>
      </c>
      <c r="AB62" s="212">
        <f>Table351550579[[#This Row],[Floor4]]+Table351550579[[#This Row],[Vault6]]</f>
        <v>17.350000000000001</v>
      </c>
      <c r="AC62" s="283">
        <f t="shared" si="4"/>
        <v>14.000000000000002</v>
      </c>
    </row>
    <row r="63" spans="1:29">
      <c r="A63" s="150">
        <v>519</v>
      </c>
      <c r="B63" s="95" t="s">
        <v>702</v>
      </c>
      <c r="C63" s="14">
        <v>8</v>
      </c>
      <c r="D63" s="14">
        <v>7.5</v>
      </c>
      <c r="E63" s="14">
        <f>SUM(C63,D63)</f>
        <v>15.5</v>
      </c>
      <c r="F63" s="8"/>
      <c r="G63" s="150">
        <v>521</v>
      </c>
      <c r="H63" s="95" t="s">
        <v>911</v>
      </c>
      <c r="I63" s="14">
        <v>9.1</v>
      </c>
      <c r="J63" s="14">
        <v>8.6</v>
      </c>
      <c r="K63" s="14">
        <f>SUM(I63,J63)</f>
        <v>17.7</v>
      </c>
      <c r="L63" s="8"/>
      <c r="N63" s="45" t="s">
        <v>1274</v>
      </c>
      <c r="O63" s="46">
        <f>E58</f>
        <v>58.149999999999991</v>
      </c>
      <c r="P63" s="40">
        <f t="shared" si="27"/>
        <v>13</v>
      </c>
      <c r="Q63" s="158"/>
      <c r="U63" s="16" t="s">
        <v>1115</v>
      </c>
      <c r="V63" s="150">
        <v>489</v>
      </c>
      <c r="W63" s="101" t="s">
        <v>1123</v>
      </c>
      <c r="X63" s="14">
        <f>C41</f>
        <v>8.8000000000000007</v>
      </c>
      <c r="Y63" s="283">
        <f t="shared" si="1"/>
        <v>12.999999999999996</v>
      </c>
      <c r="Z63" s="14">
        <f>D41</f>
        <v>8.3000000000000007</v>
      </c>
      <c r="AA63" s="283">
        <f t="shared" si="3"/>
        <v>15.999999999999996</v>
      </c>
      <c r="AB63" s="212">
        <f>Table351550579[[#This Row],[Floor4]]+Table351550579[[#This Row],[Vault6]]</f>
        <v>17.100000000000001</v>
      </c>
      <c r="AC63" s="283">
        <f t="shared" si="4"/>
        <v>18</v>
      </c>
    </row>
    <row r="64" spans="1:29">
      <c r="A64" s="150">
        <v>520</v>
      </c>
      <c r="B64" s="95" t="s">
        <v>703</v>
      </c>
      <c r="C64" s="14">
        <v>8.35</v>
      </c>
      <c r="D64" s="14">
        <v>8.4</v>
      </c>
      <c r="E64" s="14">
        <f t="shared" ref="E64" si="34">SUM(C64,D64)</f>
        <v>16.75</v>
      </c>
      <c r="F64" s="8"/>
      <c r="G64" s="165"/>
      <c r="H64" s="107"/>
      <c r="I64" s="68"/>
      <c r="J64" s="68"/>
      <c r="K64" s="68"/>
      <c r="L64" s="8"/>
      <c r="N64" s="45" t="s">
        <v>218</v>
      </c>
      <c r="O64" s="46">
        <f>K58</f>
        <v>71.150000000000006</v>
      </c>
      <c r="P64" s="40">
        <f t="shared" si="27"/>
        <v>2</v>
      </c>
      <c r="Q64" s="158"/>
      <c r="U64" s="16" t="s">
        <v>1115</v>
      </c>
      <c r="V64" s="150">
        <v>490</v>
      </c>
      <c r="W64" s="101" t="s">
        <v>1118</v>
      </c>
      <c r="X64" s="14">
        <f t="shared" ref="X64:X68" si="35">C42</f>
        <v>8.15</v>
      </c>
      <c r="Y64" s="283">
        <f t="shared" si="1"/>
        <v>26.000000000000007</v>
      </c>
      <c r="Z64" s="14">
        <f t="shared" ref="Z64:Z68" si="36">D42</f>
        <v>8.35</v>
      </c>
      <c r="AA64" s="283">
        <f t="shared" si="3"/>
        <v>14.999999999999998</v>
      </c>
      <c r="AB64" s="212">
        <f>Table351550579[[#This Row],[Floor4]]+Table351550579[[#This Row],[Vault6]]</f>
        <v>16.5</v>
      </c>
      <c r="AC64" s="283">
        <f t="shared" si="4"/>
        <v>29.999999999999986</v>
      </c>
    </row>
    <row r="65" spans="1:29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Q65" s="158"/>
      <c r="U65" s="16" t="s">
        <v>1115</v>
      </c>
      <c r="V65" s="150">
        <v>491</v>
      </c>
      <c r="W65" s="101" t="s">
        <v>1119</v>
      </c>
      <c r="X65" s="14">
        <f t="shared" si="35"/>
        <v>8.3000000000000007</v>
      </c>
      <c r="Y65" s="283">
        <f t="shared" si="1"/>
        <v>23.000000000000004</v>
      </c>
      <c r="Z65" s="14">
        <f t="shared" si="36"/>
        <v>7.4</v>
      </c>
      <c r="AA65" s="283">
        <f t="shared" si="3"/>
        <v>22</v>
      </c>
      <c r="AB65" s="212">
        <f>Table351550579[[#This Row],[Floor4]]+Table351550579[[#This Row],[Vault6]]</f>
        <v>15.700000000000001</v>
      </c>
      <c r="AC65" s="283">
        <f t="shared" si="4"/>
        <v>40.000000000000028</v>
      </c>
    </row>
    <row r="66" spans="1:29">
      <c r="A66" s="348" t="s">
        <v>1323</v>
      </c>
      <c r="B66" s="349"/>
      <c r="C66" s="349"/>
      <c r="D66" s="349"/>
      <c r="E66" s="350"/>
      <c r="F66" s="8"/>
      <c r="G66" s="8"/>
      <c r="H66" s="8"/>
      <c r="I66" s="8"/>
      <c r="J66" s="8"/>
      <c r="K66" s="8"/>
      <c r="L66" s="8"/>
      <c r="Q66" s="158"/>
      <c r="U66" s="16" t="s">
        <v>1115</v>
      </c>
      <c r="V66" s="150">
        <v>492</v>
      </c>
      <c r="W66" s="101" t="s">
        <v>1120</v>
      </c>
      <c r="X66" s="14">
        <f t="shared" si="35"/>
        <v>9.35</v>
      </c>
      <c r="Y66" s="283">
        <f t="shared" si="1"/>
        <v>3</v>
      </c>
      <c r="Z66" s="14">
        <f>D44</f>
        <v>8.5500000000000007</v>
      </c>
      <c r="AA66" s="283">
        <f t="shared" si="3"/>
        <v>11</v>
      </c>
      <c r="AB66" s="212">
        <f>Table351550579[[#This Row],[Floor4]]+Table351550579[[#This Row],[Vault6]]</f>
        <v>17.899999999999999</v>
      </c>
      <c r="AC66" s="283">
        <f t="shared" si="4"/>
        <v>6</v>
      </c>
    </row>
    <row r="67" spans="1:29">
      <c r="A67" s="354" t="s">
        <v>1</v>
      </c>
      <c r="B67" s="354" t="s">
        <v>2</v>
      </c>
      <c r="C67" s="354" t="s">
        <v>3</v>
      </c>
      <c r="D67" s="354" t="s">
        <v>4</v>
      </c>
      <c r="E67" s="354" t="s">
        <v>5</v>
      </c>
      <c r="F67" s="8"/>
      <c r="G67" s="8"/>
      <c r="H67" s="8"/>
      <c r="I67" s="8"/>
      <c r="J67" s="8"/>
      <c r="K67" s="8"/>
      <c r="L67" s="8"/>
      <c r="Q67" s="111"/>
      <c r="U67" s="16" t="s">
        <v>1115</v>
      </c>
      <c r="V67" s="150">
        <v>493</v>
      </c>
      <c r="W67" s="101" t="s">
        <v>1121</v>
      </c>
      <c r="X67" s="14">
        <f>C45</f>
        <v>8.0500000000000007</v>
      </c>
      <c r="Y67" s="283">
        <f t="shared" si="1"/>
        <v>28.000000000000004</v>
      </c>
      <c r="Z67" s="14">
        <f t="shared" si="36"/>
        <v>6</v>
      </c>
      <c r="AA67" s="283">
        <f t="shared" si="3"/>
        <v>26.000000000000011</v>
      </c>
      <c r="AB67" s="212">
        <f>Table351550579[[#This Row],[Floor4]]+Table351550579[[#This Row],[Vault6]]</f>
        <v>14.05</v>
      </c>
      <c r="AC67" s="283">
        <f t="shared" si="4"/>
        <v>45.000000000000036</v>
      </c>
    </row>
    <row r="68" spans="1:29">
      <c r="A68" s="408">
        <v>522</v>
      </c>
      <c r="B68" s="406" t="s">
        <v>942</v>
      </c>
      <c r="C68" s="401">
        <v>0</v>
      </c>
      <c r="D68" s="401">
        <v>0</v>
      </c>
      <c r="E68" s="401">
        <f>SUM(C68,D68)</f>
        <v>0</v>
      </c>
      <c r="F68" s="267"/>
      <c r="G68" s="8"/>
      <c r="H68" s="8"/>
      <c r="I68" s="8"/>
      <c r="J68" s="8"/>
      <c r="K68" s="8"/>
      <c r="L68" s="267"/>
      <c r="M68" s="80"/>
      <c r="Q68" s="73"/>
      <c r="U68" s="16" t="s">
        <v>1115</v>
      </c>
      <c r="V68" s="150">
        <v>494</v>
      </c>
      <c r="W68" s="109" t="s">
        <v>1122</v>
      </c>
      <c r="X68" s="14">
        <f t="shared" si="35"/>
        <v>8.4499999999999993</v>
      </c>
      <c r="Y68" s="283">
        <f t="shared" si="1"/>
        <v>20.000000000000004</v>
      </c>
      <c r="Z68" s="14">
        <f t="shared" si="36"/>
        <v>8.4499999999999993</v>
      </c>
      <c r="AA68" s="283">
        <f t="shared" si="3"/>
        <v>13</v>
      </c>
      <c r="AB68" s="212">
        <f>Table351550579[[#This Row],[Floor4]]+Table351550579[[#This Row],[Vault6]]</f>
        <v>16.899999999999999</v>
      </c>
      <c r="AC68" s="283">
        <f t="shared" si="4"/>
        <v>21.999999999999996</v>
      </c>
    </row>
    <row r="69" spans="1:29">
      <c r="A69" s="150">
        <v>523</v>
      </c>
      <c r="B69" s="16" t="s">
        <v>941</v>
      </c>
      <c r="C69" s="14">
        <v>7.15</v>
      </c>
      <c r="D69" s="14">
        <v>8.4</v>
      </c>
      <c r="E69" s="14">
        <f>SUM(C69,D69)</f>
        <v>15.55</v>
      </c>
      <c r="F69" s="8"/>
      <c r="G69" s="8"/>
      <c r="H69" s="8"/>
      <c r="I69" s="8"/>
      <c r="J69" s="8"/>
      <c r="K69" s="8"/>
      <c r="L69" s="8"/>
      <c r="Q69" s="73"/>
      <c r="U69" s="16" t="s">
        <v>87</v>
      </c>
      <c r="V69" s="150">
        <v>495</v>
      </c>
      <c r="W69" s="101" t="s">
        <v>1174</v>
      </c>
      <c r="X69" s="14">
        <f>I41</f>
        <v>9.1</v>
      </c>
      <c r="Y69" s="283">
        <f t="shared" si="1"/>
        <v>7</v>
      </c>
      <c r="Z69" s="14">
        <f>J41</f>
        <v>8.5</v>
      </c>
      <c r="AA69" s="283">
        <f t="shared" si="3"/>
        <v>12</v>
      </c>
      <c r="AB69" s="212">
        <f>Table351550579[[#This Row],[Floor4]]+Table351550579[[#This Row],[Vault6]]</f>
        <v>17.600000000000001</v>
      </c>
      <c r="AC69" s="283">
        <f t="shared" si="4"/>
        <v>10</v>
      </c>
    </row>
    <row r="70" spans="1:29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Q70" s="73"/>
      <c r="U70" s="16" t="s">
        <v>87</v>
      </c>
      <c r="V70" s="150">
        <v>496</v>
      </c>
      <c r="W70" s="101" t="s">
        <v>1175</v>
      </c>
      <c r="X70" s="14">
        <f t="shared" ref="X70:X74" si="37">I42</f>
        <v>9.15</v>
      </c>
      <c r="Y70" s="283">
        <f t="shared" si="1"/>
        <v>6</v>
      </c>
      <c r="Z70" s="14">
        <f t="shared" ref="Z70:Z74" si="38">J42</f>
        <v>8.3000000000000007</v>
      </c>
      <c r="AA70" s="283">
        <f t="shared" si="3"/>
        <v>15.999999999999996</v>
      </c>
      <c r="AB70" s="212">
        <f>Table351550579[[#This Row],[Floor4]]+Table351550579[[#This Row],[Vault6]]</f>
        <v>17.450000000000003</v>
      </c>
      <c r="AC70" s="283">
        <f t="shared" si="4"/>
        <v>13.000000000000002</v>
      </c>
    </row>
    <row r="71" spans="1:29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Q71" s="73"/>
      <c r="U71" s="16" t="s">
        <v>87</v>
      </c>
      <c r="V71" s="150">
        <v>497</v>
      </c>
      <c r="W71" s="101" t="s">
        <v>1176</v>
      </c>
      <c r="X71" s="14">
        <f t="shared" si="37"/>
        <v>9</v>
      </c>
      <c r="Y71" s="283">
        <f t="shared" si="1"/>
        <v>9</v>
      </c>
      <c r="Z71" s="14">
        <f t="shared" si="38"/>
        <v>8.65</v>
      </c>
      <c r="AA71" s="283">
        <f t="shared" si="3"/>
        <v>9</v>
      </c>
      <c r="AB71" s="212">
        <f>Table351550579[[#This Row],[Floor4]]+Table351550579[[#This Row],[Vault6]]</f>
        <v>17.649999999999999</v>
      </c>
      <c r="AC71" s="283">
        <f t="shared" si="4"/>
        <v>9</v>
      </c>
    </row>
    <row r="72" spans="1:29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U72" s="16" t="s">
        <v>87</v>
      </c>
      <c r="V72" s="150">
        <v>498</v>
      </c>
      <c r="W72" s="101" t="s">
        <v>1177</v>
      </c>
      <c r="X72" s="14">
        <f t="shared" si="37"/>
        <v>8.75</v>
      </c>
      <c r="Y72" s="283">
        <f t="shared" ref="Y72:Y94" si="39">SUMPRODUCT((X$7:X$94&gt;X72)/COUNTIF(X$7:X$94,X$7:X$94&amp;""))+1</f>
        <v>13.999999999999998</v>
      </c>
      <c r="Z72" s="14">
        <f>J44</f>
        <v>8.4</v>
      </c>
      <c r="AA72" s="283">
        <f t="shared" ref="AA72:AA94" si="40">SUMPRODUCT((Z$7:Z$94&gt;Z72)/COUNTIF(Z$7:Z$94,Z$7:Z$94&amp;""))+1</f>
        <v>13.999999999999998</v>
      </c>
      <c r="AB72" s="212">
        <f>Table351550579[[#This Row],[Floor4]]+Table351550579[[#This Row],[Vault6]]</f>
        <v>17.149999999999999</v>
      </c>
      <c r="AC72" s="283">
        <f t="shared" ref="AC72:AC94" si="41">SUMPRODUCT((AB$7:AB$94&gt;AB72)/COUNTIF(AB$7:AB$94,AB$7:AB$94&amp;""))+1</f>
        <v>17</v>
      </c>
    </row>
    <row r="73" spans="1:29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U73" s="16" t="s">
        <v>87</v>
      </c>
      <c r="V73" s="150">
        <v>499</v>
      </c>
      <c r="W73" s="101" t="s">
        <v>1178</v>
      </c>
      <c r="X73" s="14">
        <f>I45</f>
        <v>8.35</v>
      </c>
      <c r="Y73" s="283">
        <f t="shared" si="39"/>
        <v>22</v>
      </c>
      <c r="Z73" s="14">
        <f t="shared" si="38"/>
        <v>8.5</v>
      </c>
      <c r="AA73" s="283">
        <f t="shared" si="40"/>
        <v>12</v>
      </c>
      <c r="AB73" s="212">
        <f>Table351550579[[#This Row],[Floor4]]+Table351550579[[#This Row],[Vault6]]</f>
        <v>16.850000000000001</v>
      </c>
      <c r="AC73" s="283">
        <f t="shared" si="41"/>
        <v>22.999999999999993</v>
      </c>
    </row>
    <row r="74" spans="1:29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U74" s="16" t="s">
        <v>87</v>
      </c>
      <c r="V74" s="150">
        <v>500</v>
      </c>
      <c r="W74" s="109" t="s">
        <v>1179</v>
      </c>
      <c r="X74" s="14">
        <f t="shared" si="37"/>
        <v>8.4</v>
      </c>
      <c r="Y74" s="283">
        <f t="shared" si="39"/>
        <v>21</v>
      </c>
      <c r="Z74" s="14">
        <f t="shared" si="38"/>
        <v>8.75</v>
      </c>
      <c r="AA74" s="283">
        <f t="shared" si="40"/>
        <v>7</v>
      </c>
      <c r="AB74" s="212">
        <f>Table351550579[[#This Row],[Floor4]]+Table351550579[[#This Row],[Vault6]]</f>
        <v>17.149999999999999</v>
      </c>
      <c r="AC74" s="283">
        <f t="shared" si="41"/>
        <v>17</v>
      </c>
    </row>
    <row r="75" spans="1:29">
      <c r="U75" s="16" t="s">
        <v>87</v>
      </c>
      <c r="V75" s="150">
        <v>501</v>
      </c>
      <c r="W75" s="101" t="s">
        <v>1180</v>
      </c>
      <c r="X75" s="14">
        <f>O41</f>
        <v>8.9499999999999993</v>
      </c>
      <c r="Y75" s="283">
        <f t="shared" si="39"/>
        <v>10</v>
      </c>
      <c r="Z75" s="14">
        <f>P41</f>
        <v>8.35</v>
      </c>
      <c r="AA75" s="283">
        <f t="shared" si="40"/>
        <v>14.999999999999998</v>
      </c>
      <c r="AB75" s="212">
        <f>Table351550579[[#This Row],[Floor4]]+Table351550579[[#This Row],[Vault6]]</f>
        <v>17.299999999999997</v>
      </c>
      <c r="AC75" s="283">
        <f t="shared" si="41"/>
        <v>15.000000000000002</v>
      </c>
    </row>
    <row r="76" spans="1:29">
      <c r="U76" s="406" t="s">
        <v>87</v>
      </c>
      <c r="V76" s="408">
        <v>502</v>
      </c>
      <c r="W76" s="412" t="s">
        <v>1181</v>
      </c>
      <c r="X76" s="401">
        <f t="shared" ref="X76:X80" si="42">O42</f>
        <v>0</v>
      </c>
      <c r="Y76" s="402">
        <f t="shared" si="39"/>
        <v>37.999999999999993</v>
      </c>
      <c r="Z76" s="401">
        <f t="shared" ref="Z76:Z80" si="43">P42</f>
        <v>0</v>
      </c>
      <c r="AA76" s="402">
        <f t="shared" si="40"/>
        <v>27.000000000000011</v>
      </c>
      <c r="AB76" s="413">
        <f>Table351550579[[#This Row],[Floor4]]+Table351550579[[#This Row],[Vault6]]</f>
        <v>0</v>
      </c>
      <c r="AC76" s="402">
        <f t="shared" si="41"/>
        <v>48.000000000000036</v>
      </c>
    </row>
    <row r="77" spans="1:29">
      <c r="Q77" s="111"/>
      <c r="U77" s="16" t="s">
        <v>87</v>
      </c>
      <c r="V77" s="150">
        <v>503</v>
      </c>
      <c r="W77" s="101" t="s">
        <v>1182</v>
      </c>
      <c r="X77" s="14">
        <f t="shared" si="42"/>
        <v>9.4499999999999993</v>
      </c>
      <c r="Y77" s="283">
        <f t="shared" si="39"/>
        <v>2</v>
      </c>
      <c r="Z77" s="14">
        <f t="shared" si="43"/>
        <v>8.35</v>
      </c>
      <c r="AA77" s="283">
        <f t="shared" si="40"/>
        <v>14.999999999999998</v>
      </c>
      <c r="AB77" s="212">
        <f>Table351550579[[#This Row],[Floor4]]+Table351550579[[#This Row],[Vault6]]</f>
        <v>17.799999999999997</v>
      </c>
      <c r="AC77" s="283">
        <f t="shared" si="41"/>
        <v>7</v>
      </c>
    </row>
    <row r="78" spans="1:29">
      <c r="Q78" s="73"/>
      <c r="U78" s="16" t="s">
        <v>87</v>
      </c>
      <c r="V78" s="150">
        <v>504</v>
      </c>
      <c r="W78" s="101" t="s">
        <v>1183</v>
      </c>
      <c r="X78" s="14">
        <f t="shared" si="42"/>
        <v>9.35</v>
      </c>
      <c r="Y78" s="283">
        <f t="shared" si="39"/>
        <v>3</v>
      </c>
      <c r="Z78" s="14">
        <f t="shared" si="43"/>
        <v>8.3000000000000007</v>
      </c>
      <c r="AA78" s="283">
        <f t="shared" si="40"/>
        <v>15.999999999999996</v>
      </c>
      <c r="AB78" s="212">
        <f>Table351550579[[#This Row],[Floor4]]+Table351550579[[#This Row],[Vault6]]</f>
        <v>17.649999999999999</v>
      </c>
      <c r="AC78" s="283">
        <f t="shared" si="41"/>
        <v>9</v>
      </c>
    </row>
    <row r="79" spans="1:29">
      <c r="Q79" s="73"/>
      <c r="U79" s="16" t="s">
        <v>87</v>
      </c>
      <c r="V79" s="150">
        <v>505</v>
      </c>
      <c r="W79" s="101" t="s">
        <v>1184</v>
      </c>
      <c r="X79" s="14">
        <f>O45</f>
        <v>9.3000000000000007</v>
      </c>
      <c r="Y79" s="283">
        <f t="shared" si="39"/>
        <v>4</v>
      </c>
      <c r="Z79" s="14">
        <f>P45</f>
        <v>8.5</v>
      </c>
      <c r="AA79" s="283">
        <f t="shared" si="40"/>
        <v>12</v>
      </c>
      <c r="AB79" s="212">
        <f>Table351550579[[#This Row],[Floor4]]+Table351550579[[#This Row],[Vault6]]</f>
        <v>17.8</v>
      </c>
      <c r="AC79" s="283">
        <f t="shared" si="41"/>
        <v>7</v>
      </c>
    </row>
    <row r="80" spans="1:29">
      <c r="A80" s="165"/>
      <c r="B80" s="107"/>
      <c r="C80" s="68"/>
      <c r="D80" s="68"/>
      <c r="E80" s="68"/>
      <c r="F80" s="81"/>
      <c r="L80" s="81"/>
      <c r="M80" s="102"/>
      <c r="Q80" s="73"/>
      <c r="U80" s="16" t="s">
        <v>87</v>
      </c>
      <c r="V80" s="150">
        <v>506</v>
      </c>
      <c r="W80" s="109" t="s">
        <v>1185</v>
      </c>
      <c r="X80" s="14">
        <f t="shared" si="42"/>
        <v>8.9499999999999993</v>
      </c>
      <c r="Y80" s="283">
        <f t="shared" si="39"/>
        <v>10</v>
      </c>
      <c r="Z80" s="14">
        <f t="shared" si="43"/>
        <v>8.65</v>
      </c>
      <c r="AA80" s="283">
        <f t="shared" si="40"/>
        <v>9</v>
      </c>
      <c r="AB80" s="212">
        <f>Table351550579[[#This Row],[Floor4]]+Table351550579[[#This Row],[Vault6]]</f>
        <v>17.600000000000001</v>
      </c>
      <c r="AC80" s="283">
        <f t="shared" si="41"/>
        <v>10</v>
      </c>
    </row>
    <row r="81" spans="1:29">
      <c r="F81" s="106"/>
      <c r="L81" s="106"/>
      <c r="M81" s="175"/>
      <c r="Q81" s="73"/>
      <c r="U81" s="16" t="s">
        <v>1204</v>
      </c>
      <c r="V81" s="150">
        <v>507</v>
      </c>
      <c r="W81" s="101" t="s">
        <v>1218</v>
      </c>
      <c r="X81" s="14">
        <f>C52</f>
        <v>0</v>
      </c>
      <c r="Y81" s="283">
        <f t="shared" si="39"/>
        <v>37.999999999999993</v>
      </c>
      <c r="Z81" s="14">
        <f>D52</f>
        <v>7.2</v>
      </c>
      <c r="AA81" s="283">
        <f t="shared" si="40"/>
        <v>24.000000000000007</v>
      </c>
      <c r="AB81" s="212">
        <f>Table351550579[[#This Row],[Floor4]]+Table351550579[[#This Row],[Vault6]]</f>
        <v>7.2</v>
      </c>
      <c r="AC81" s="283">
        <f t="shared" si="41"/>
        <v>47.000000000000036</v>
      </c>
    </row>
    <row r="82" spans="1:29">
      <c r="F82" s="1"/>
      <c r="L82" s="1"/>
      <c r="M82" s="111"/>
      <c r="Q82" s="73"/>
      <c r="U82" s="16" t="s">
        <v>1204</v>
      </c>
      <c r="V82" s="150">
        <v>508</v>
      </c>
      <c r="W82" s="101" t="s">
        <v>1219</v>
      </c>
      <c r="X82" s="14">
        <f t="shared" ref="X82:X85" si="44">C53</f>
        <v>7.95</v>
      </c>
      <c r="Y82" s="283">
        <f t="shared" si="39"/>
        <v>30.000000000000004</v>
      </c>
      <c r="Z82" s="14">
        <f t="shared" ref="Z82:Z85" si="45">D53</f>
        <v>8.6999999999999993</v>
      </c>
      <c r="AA82" s="283">
        <f t="shared" si="40"/>
        <v>8</v>
      </c>
      <c r="AB82" s="212">
        <f>Table351550579[[#This Row],[Floor4]]+Table351550579[[#This Row],[Vault6]]</f>
        <v>16.649999999999999</v>
      </c>
      <c r="AC82" s="283">
        <f t="shared" si="41"/>
        <v>26.999999999999989</v>
      </c>
    </row>
    <row r="83" spans="1:29">
      <c r="F83" s="1"/>
      <c r="L83" s="1"/>
      <c r="M83" s="152"/>
      <c r="Q83" s="68"/>
      <c r="U83" s="16" t="s">
        <v>1204</v>
      </c>
      <c r="V83" s="150">
        <v>509</v>
      </c>
      <c r="W83" s="101" t="s">
        <v>1220</v>
      </c>
      <c r="X83" s="14">
        <f t="shared" si="44"/>
        <v>0</v>
      </c>
      <c r="Y83" s="283">
        <f t="shared" si="39"/>
        <v>37.999999999999993</v>
      </c>
      <c r="Z83" s="14">
        <f>D54</f>
        <v>8.25</v>
      </c>
      <c r="AA83" s="283">
        <f t="shared" si="40"/>
        <v>16.999999999999993</v>
      </c>
      <c r="AB83" s="212">
        <f>Table351550579[[#This Row],[Floor4]]+Table351550579[[#This Row],[Vault6]]</f>
        <v>8.25</v>
      </c>
      <c r="AC83" s="283">
        <f t="shared" si="41"/>
        <v>46.000000000000036</v>
      </c>
    </row>
    <row r="84" spans="1:29">
      <c r="F84" s="1"/>
      <c r="L84" s="1"/>
      <c r="M84" s="152"/>
      <c r="Q84" s="105"/>
      <c r="U84" s="16" t="s">
        <v>1204</v>
      </c>
      <c r="V84" s="150">
        <v>510</v>
      </c>
      <c r="W84" s="101" t="s">
        <v>1221</v>
      </c>
      <c r="X84" s="14">
        <f>C55</f>
        <v>8.25</v>
      </c>
      <c r="Y84" s="283">
        <f t="shared" si="39"/>
        <v>24.000000000000004</v>
      </c>
      <c r="Z84" s="14">
        <f t="shared" si="45"/>
        <v>8.25</v>
      </c>
      <c r="AA84" s="283">
        <f t="shared" si="40"/>
        <v>16.999999999999993</v>
      </c>
      <c r="AB84" s="212">
        <f>Table351550579[[#This Row],[Floor4]]+Table351550579[[#This Row],[Vault6]]</f>
        <v>16.5</v>
      </c>
      <c r="AC84" s="283">
        <f t="shared" si="41"/>
        <v>29.999999999999986</v>
      </c>
    </row>
    <row r="85" spans="1:29">
      <c r="F85" s="1"/>
      <c r="G85" s="152"/>
      <c r="H85" s="110"/>
      <c r="I85" s="73"/>
      <c r="J85" s="73"/>
      <c r="K85" s="73"/>
      <c r="L85" s="1"/>
      <c r="M85" s="152"/>
      <c r="Q85" s="1"/>
      <c r="U85" s="16" t="s">
        <v>1204</v>
      </c>
      <c r="V85" s="150">
        <v>511</v>
      </c>
      <c r="W85" s="109" t="s">
        <v>1222</v>
      </c>
      <c r="X85" s="14">
        <f t="shared" si="44"/>
        <v>8.25</v>
      </c>
      <c r="Y85" s="283">
        <f t="shared" si="39"/>
        <v>24.000000000000004</v>
      </c>
      <c r="Z85" s="14">
        <f t="shared" si="45"/>
        <v>8.5</v>
      </c>
      <c r="AA85" s="283">
        <f t="shared" si="40"/>
        <v>12</v>
      </c>
      <c r="AB85" s="212">
        <f>Table351550579[[#This Row],[Floor4]]+Table351550579[[#This Row],[Vault6]]</f>
        <v>16.75</v>
      </c>
      <c r="AC85" s="283">
        <f t="shared" si="41"/>
        <v>24.999999999999993</v>
      </c>
    </row>
    <row r="86" spans="1:29">
      <c r="F86" s="1"/>
      <c r="G86" s="152"/>
      <c r="H86" s="110"/>
      <c r="I86" s="73"/>
      <c r="J86" s="73"/>
      <c r="K86" s="73"/>
      <c r="L86" s="1"/>
      <c r="M86" s="152"/>
      <c r="Q86" s="1"/>
      <c r="U86" s="16" t="s">
        <v>1227</v>
      </c>
      <c r="V86" s="150">
        <v>513</v>
      </c>
      <c r="W86" s="101" t="s">
        <v>1245</v>
      </c>
      <c r="X86" s="14">
        <f>I52</f>
        <v>8.9</v>
      </c>
      <c r="Y86" s="283">
        <f t="shared" si="39"/>
        <v>10.999999999999998</v>
      </c>
      <c r="Z86" s="14">
        <f>J52</f>
        <v>8.4</v>
      </c>
      <c r="AA86" s="283">
        <f t="shared" si="40"/>
        <v>13.999999999999998</v>
      </c>
      <c r="AB86" s="212">
        <f>Table351550579[[#This Row],[Floor4]]+Table351550579[[#This Row],[Vault6]]</f>
        <v>17.3</v>
      </c>
      <c r="AC86" s="283">
        <f t="shared" si="41"/>
        <v>15.000000000000002</v>
      </c>
    </row>
    <row r="87" spans="1:29">
      <c r="F87" s="1"/>
      <c r="G87" s="152"/>
      <c r="H87" s="110"/>
      <c r="I87" s="73"/>
      <c r="J87" s="73"/>
      <c r="K87" s="73"/>
      <c r="L87" s="1"/>
      <c r="M87" s="152"/>
      <c r="Q87" s="137"/>
      <c r="U87" s="16" t="s">
        <v>1227</v>
      </c>
      <c r="V87" s="150">
        <v>514</v>
      </c>
      <c r="W87" s="101" t="s">
        <v>526</v>
      </c>
      <c r="X87" s="14">
        <f t="shared" ref="X87:X91" si="46">I53</f>
        <v>8.9499999999999993</v>
      </c>
      <c r="Y87" s="283">
        <f t="shared" si="39"/>
        <v>10</v>
      </c>
      <c r="Z87" s="14">
        <f t="shared" ref="Z87:Z91" si="47">J53</f>
        <v>9</v>
      </c>
      <c r="AA87" s="283">
        <f t="shared" si="40"/>
        <v>4</v>
      </c>
      <c r="AB87" s="212">
        <f>Table351550579[[#This Row],[Floor4]]+Table351550579[[#This Row],[Vault6]]</f>
        <v>17.95</v>
      </c>
      <c r="AC87" s="283">
        <f t="shared" si="41"/>
        <v>5</v>
      </c>
    </row>
    <row r="88" spans="1:29">
      <c r="F88" s="106"/>
      <c r="G88" s="152"/>
      <c r="H88" s="110"/>
      <c r="I88" s="73"/>
      <c r="J88" s="73"/>
      <c r="K88" s="68"/>
      <c r="L88" s="106"/>
      <c r="M88" s="152"/>
      <c r="Q88" s="111"/>
      <c r="U88" s="16" t="s">
        <v>1227</v>
      </c>
      <c r="V88" s="150">
        <v>515</v>
      </c>
      <c r="W88" s="101" t="s">
        <v>527</v>
      </c>
      <c r="X88" s="14">
        <f t="shared" si="46"/>
        <v>8.9499999999999993</v>
      </c>
      <c r="Y88" s="283">
        <f t="shared" si="39"/>
        <v>10</v>
      </c>
      <c r="Z88" s="14">
        <f t="shared" si="47"/>
        <v>9.0500000000000007</v>
      </c>
      <c r="AA88" s="283">
        <f t="shared" si="40"/>
        <v>3</v>
      </c>
      <c r="AB88" s="212">
        <f>Table351550579[[#This Row],[Floor4]]+Table351550579[[#This Row],[Vault6]]</f>
        <v>18</v>
      </c>
      <c r="AC88" s="283">
        <f t="shared" si="41"/>
        <v>4</v>
      </c>
    </row>
    <row r="89" spans="1:29">
      <c r="F89" s="106"/>
      <c r="G89" s="1"/>
      <c r="H89" s="104"/>
      <c r="I89" s="64"/>
      <c r="J89" s="64"/>
      <c r="K89" s="105"/>
      <c r="L89" s="106"/>
      <c r="M89" s="1"/>
      <c r="Q89" s="73"/>
      <c r="U89" s="16" t="s">
        <v>1227</v>
      </c>
      <c r="V89" s="150">
        <v>516</v>
      </c>
      <c r="W89" s="101" t="s">
        <v>1246</v>
      </c>
      <c r="X89" s="14">
        <f>I55</f>
        <v>9.1</v>
      </c>
      <c r="Y89" s="283">
        <f t="shared" si="39"/>
        <v>7</v>
      </c>
      <c r="Z89" s="14">
        <f t="shared" si="47"/>
        <v>8.4499999999999993</v>
      </c>
      <c r="AA89" s="283">
        <f t="shared" si="40"/>
        <v>13</v>
      </c>
      <c r="AB89" s="212">
        <f>Table351550579[[#This Row],[Floor4]]+Table351550579[[#This Row],[Vault6]]</f>
        <v>17.549999999999997</v>
      </c>
      <c r="AC89" s="283">
        <f t="shared" si="41"/>
        <v>11</v>
      </c>
    </row>
    <row r="90" spans="1:29">
      <c r="A90" s="1"/>
      <c r="B90" s="121"/>
      <c r="C90" s="1"/>
      <c r="D90" s="104"/>
      <c r="E90" s="115"/>
      <c r="F90" s="1"/>
      <c r="G90" s="1"/>
      <c r="H90" s="121"/>
      <c r="I90" s="1"/>
      <c r="J90" s="104"/>
      <c r="K90" s="115"/>
      <c r="L90" s="1"/>
      <c r="M90" s="1"/>
      <c r="Q90" s="73"/>
      <c r="U90" s="16" t="s">
        <v>1227</v>
      </c>
      <c r="V90" s="150">
        <v>517</v>
      </c>
      <c r="W90" s="101" t="s">
        <v>1247</v>
      </c>
      <c r="X90" s="14">
        <f t="shared" si="46"/>
        <v>9.0500000000000007</v>
      </c>
      <c r="Y90" s="283">
        <f t="shared" si="39"/>
        <v>8</v>
      </c>
      <c r="Z90" s="14">
        <f>J56</f>
        <v>8.25</v>
      </c>
      <c r="AA90" s="283">
        <f t="shared" si="40"/>
        <v>16.999999999999993</v>
      </c>
      <c r="AB90" s="212">
        <f>Table351550579[[#This Row],[Floor4]]+Table351550579[[#This Row],[Vault6]]</f>
        <v>17.3</v>
      </c>
      <c r="AC90" s="283">
        <f t="shared" si="41"/>
        <v>15.000000000000002</v>
      </c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10"/>
      <c r="O91" s="73"/>
      <c r="P91" s="73"/>
      <c r="Q91" s="73"/>
      <c r="U91" s="16" t="s">
        <v>1227</v>
      </c>
      <c r="V91" s="150">
        <v>518</v>
      </c>
      <c r="W91" s="109" t="s">
        <v>1248</v>
      </c>
      <c r="X91" s="14">
        <f t="shared" si="46"/>
        <v>8.6999999999999993</v>
      </c>
      <c r="Y91" s="283">
        <f t="shared" si="39"/>
        <v>14.999999999999998</v>
      </c>
      <c r="Z91" s="14">
        <f t="shared" si="47"/>
        <v>8.6</v>
      </c>
      <c r="AA91" s="283">
        <f t="shared" si="40"/>
        <v>9.9999999999999982</v>
      </c>
      <c r="AB91" s="212">
        <f>Table351550579[[#This Row],[Floor4]]+Table351550579[[#This Row],[Vault6]]</f>
        <v>17.299999999999997</v>
      </c>
      <c r="AC91" s="283">
        <f t="shared" si="41"/>
        <v>15.000000000000002</v>
      </c>
    </row>
    <row r="92" spans="1:29">
      <c r="A92" s="102"/>
      <c r="B92" s="110"/>
      <c r="C92" s="73"/>
      <c r="D92" s="73"/>
      <c r="E92" s="73"/>
      <c r="G92" s="102"/>
      <c r="H92" s="110"/>
      <c r="I92" s="73"/>
      <c r="J92" s="73"/>
      <c r="K92" s="73"/>
      <c r="L92" s="81"/>
      <c r="M92" s="102"/>
      <c r="N92" s="104"/>
      <c r="O92" s="64"/>
      <c r="P92" s="64"/>
      <c r="Q92" s="73"/>
      <c r="U92" s="307" t="s">
        <v>1227</v>
      </c>
      <c r="V92" s="302">
        <v>528</v>
      </c>
      <c r="W92" s="308" t="s">
        <v>1252</v>
      </c>
      <c r="X92" s="295">
        <f>'INT 9&amp;U MX'!D11</f>
        <v>8.15</v>
      </c>
      <c r="Y92" s="283">
        <f t="shared" si="39"/>
        <v>26.000000000000007</v>
      </c>
      <c r="Z92" s="295">
        <f>'INT 9&amp;U MX'!E11</f>
        <v>8.6999999999999993</v>
      </c>
      <c r="AA92" s="283">
        <f t="shared" si="40"/>
        <v>8</v>
      </c>
      <c r="AB92" s="299">
        <f>Table351550579[[#This Row],[Floor4]]+Table351550579[[#This Row],[Vault6]]</f>
        <v>16.850000000000001</v>
      </c>
      <c r="AC92" s="283">
        <f t="shared" si="41"/>
        <v>22.999999999999993</v>
      </c>
    </row>
    <row r="93" spans="1:29">
      <c r="A93" s="102"/>
      <c r="B93" s="110"/>
      <c r="C93" s="73"/>
      <c r="D93" s="73"/>
      <c r="E93" s="73"/>
      <c r="G93" s="102"/>
      <c r="H93" s="110"/>
      <c r="I93" s="73"/>
      <c r="J93" s="73"/>
      <c r="K93" s="73"/>
      <c r="L93" s="81"/>
      <c r="M93" s="102"/>
      <c r="N93" s="121"/>
      <c r="O93" s="1"/>
      <c r="P93" s="104"/>
      <c r="Q93" s="73"/>
      <c r="U93" s="307" t="s">
        <v>1227</v>
      </c>
      <c r="V93" s="302">
        <v>529</v>
      </c>
      <c r="W93" s="308" t="s">
        <v>1253</v>
      </c>
      <c r="X93" s="295">
        <f>'INT 9&amp;U MX'!D12</f>
        <v>9.1999999999999993</v>
      </c>
      <c r="Y93" s="283">
        <f t="shared" si="39"/>
        <v>5</v>
      </c>
      <c r="Z93" s="295">
        <f>'INT 9&amp;U MX'!E12</f>
        <v>8.6</v>
      </c>
      <c r="AA93" s="283">
        <f t="shared" si="40"/>
        <v>9.9999999999999982</v>
      </c>
      <c r="AB93" s="299">
        <f>Table351550579[[#This Row],[Floor4]]+Table351550579[[#This Row],[Vault6]]</f>
        <v>17.799999999999997</v>
      </c>
      <c r="AC93" s="283">
        <f t="shared" si="41"/>
        <v>7</v>
      </c>
    </row>
    <row r="94" spans="1:29">
      <c r="A94" s="102"/>
      <c r="B94" s="110"/>
      <c r="C94" s="73"/>
      <c r="D94" s="73"/>
      <c r="E94" s="68"/>
      <c r="F94" s="8"/>
      <c r="G94" s="102"/>
      <c r="H94" s="110"/>
      <c r="I94" s="73"/>
      <c r="J94" s="73"/>
      <c r="K94" s="68"/>
      <c r="L94" s="81"/>
      <c r="M94" s="102"/>
      <c r="Q94" s="68"/>
      <c r="U94" s="307" t="s">
        <v>1227</v>
      </c>
      <c r="V94" s="310">
        <v>530</v>
      </c>
      <c r="W94" s="311" t="s">
        <v>1254</v>
      </c>
      <c r="X94" s="295">
        <f>'INT 9&amp;U MX'!D13</f>
        <v>9.1</v>
      </c>
      <c r="Y94" s="283">
        <f t="shared" si="39"/>
        <v>7</v>
      </c>
      <c r="Z94" s="295">
        <f>'INT 9&amp;U MX'!E13</f>
        <v>8.5</v>
      </c>
      <c r="AA94" s="283">
        <f t="shared" si="40"/>
        <v>12</v>
      </c>
      <c r="AB94" s="299">
        <f>Table351550579[[#This Row],[Floor4]]+Table351550579[[#This Row],[Vault6]]</f>
        <v>17.600000000000001</v>
      </c>
      <c r="AC94" s="283">
        <f t="shared" si="41"/>
        <v>10</v>
      </c>
    </row>
    <row r="95" spans="1:29">
      <c r="A95" s="1"/>
      <c r="B95" s="104"/>
      <c r="C95" s="64"/>
      <c r="D95" s="64"/>
      <c r="E95" s="105"/>
      <c r="F95" s="8"/>
      <c r="G95" s="1"/>
      <c r="H95" s="104"/>
      <c r="I95" s="64"/>
      <c r="J95" s="64"/>
      <c r="K95" s="105"/>
      <c r="L95" s="81"/>
      <c r="M95" s="1"/>
      <c r="Q95" s="105"/>
    </row>
    <row r="96" spans="1:29">
      <c r="A96" s="1"/>
      <c r="B96" s="121"/>
      <c r="C96" s="1"/>
      <c r="D96" s="104"/>
      <c r="E96" s="115"/>
      <c r="G96" s="1"/>
      <c r="H96" s="121"/>
      <c r="I96" s="1"/>
      <c r="J96" s="104"/>
      <c r="K96" s="115"/>
      <c r="L96" s="81"/>
      <c r="M96" s="1"/>
      <c r="Q96" s="115"/>
    </row>
    <row r="97" spans="1:17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1"/>
      <c r="Q97" s="1"/>
    </row>
    <row r="98" spans="1:17">
      <c r="A98" s="137"/>
      <c r="B98" s="137"/>
      <c r="C98" s="137"/>
      <c r="D98" s="137"/>
      <c r="E98" s="137"/>
      <c r="F98" s="8"/>
      <c r="G98" s="137"/>
      <c r="H98" s="137"/>
      <c r="I98" s="137"/>
      <c r="J98" s="137"/>
      <c r="K98" s="137"/>
      <c r="L98" s="81"/>
      <c r="M98" s="137"/>
      <c r="Q98" s="137"/>
    </row>
    <row r="99" spans="1:17">
      <c r="A99" s="111"/>
      <c r="B99" s="111"/>
      <c r="C99" s="111"/>
      <c r="D99" s="111"/>
      <c r="E99" s="111"/>
      <c r="G99" s="111"/>
      <c r="H99" s="111"/>
      <c r="I99" s="111"/>
      <c r="J99" s="111"/>
      <c r="K99" s="111"/>
      <c r="L99" s="81"/>
      <c r="M99" s="111"/>
      <c r="Q99" s="111"/>
    </row>
    <row r="100" spans="1:17">
      <c r="A100" s="102"/>
      <c r="B100" s="110"/>
      <c r="C100" s="73"/>
      <c r="D100" s="73"/>
      <c r="E100" s="73"/>
      <c r="G100" s="102"/>
      <c r="H100" s="110"/>
      <c r="I100" s="73"/>
      <c r="J100" s="73"/>
      <c r="K100" s="73"/>
      <c r="L100" s="81"/>
      <c r="M100" s="102"/>
      <c r="Q100" s="73"/>
    </row>
    <row r="101" spans="1:17">
      <c r="A101" s="102"/>
      <c r="B101" s="110"/>
      <c r="C101" s="73"/>
      <c r="D101" s="73"/>
      <c r="E101" s="73"/>
      <c r="G101" s="102"/>
      <c r="H101" s="110"/>
      <c r="I101" s="73"/>
      <c r="J101" s="73"/>
      <c r="K101" s="73"/>
      <c r="L101" s="81"/>
      <c r="M101" s="102"/>
      <c r="Q101" s="73"/>
    </row>
    <row r="102" spans="1:17">
      <c r="A102" s="102"/>
      <c r="B102" s="110"/>
      <c r="C102" s="73"/>
      <c r="D102" s="73"/>
      <c r="E102" s="73"/>
      <c r="G102" s="102"/>
      <c r="H102" s="110"/>
      <c r="I102" s="73"/>
      <c r="J102" s="73"/>
      <c r="K102" s="73"/>
      <c r="L102" s="81"/>
      <c r="M102" s="102"/>
      <c r="Q102" s="73"/>
    </row>
    <row r="103" spans="1:17">
      <c r="A103" s="102"/>
      <c r="B103" s="110"/>
      <c r="C103" s="73"/>
      <c r="D103" s="73"/>
      <c r="E103" s="73"/>
      <c r="G103" s="102"/>
      <c r="H103" s="110"/>
      <c r="I103" s="73"/>
      <c r="J103" s="73"/>
      <c r="K103" s="73"/>
      <c r="L103" s="81"/>
      <c r="M103" s="102"/>
      <c r="Q103" s="73"/>
    </row>
    <row r="104" spans="1:17">
      <c r="A104" s="102"/>
      <c r="B104" s="110"/>
      <c r="C104" s="73"/>
      <c r="D104" s="73"/>
      <c r="E104" s="73"/>
      <c r="G104" s="102"/>
      <c r="H104" s="110"/>
      <c r="I104" s="73"/>
      <c r="J104" s="73"/>
      <c r="K104" s="73"/>
      <c r="L104" s="81"/>
      <c r="M104" s="102"/>
      <c r="Q104" s="73"/>
    </row>
    <row r="105" spans="1:17">
      <c r="A105" s="102"/>
      <c r="B105" s="110"/>
      <c r="C105" s="73"/>
      <c r="D105" s="73"/>
      <c r="E105" s="68"/>
      <c r="F105" s="8"/>
      <c r="G105" s="102"/>
      <c r="H105" s="110"/>
      <c r="I105" s="73"/>
      <c r="J105" s="73"/>
      <c r="K105" s="68"/>
      <c r="L105" s="81"/>
      <c r="M105" s="102"/>
      <c r="Q105" s="68"/>
    </row>
    <row r="106" spans="1:17">
      <c r="A106" s="1"/>
      <c r="B106" s="104"/>
      <c r="C106" s="64"/>
      <c r="D106" s="64"/>
      <c r="E106" s="105"/>
      <c r="F106" s="8"/>
      <c r="G106" s="1"/>
      <c r="H106" s="104"/>
      <c r="I106" s="64"/>
      <c r="J106" s="64"/>
      <c r="K106" s="105"/>
      <c r="L106" s="81"/>
      <c r="M106" s="1"/>
      <c r="Q106" s="105"/>
    </row>
    <row r="107" spans="1:17">
      <c r="A107" s="1"/>
      <c r="B107" s="121"/>
      <c r="C107" s="1"/>
      <c r="D107" s="104"/>
      <c r="E107" s="115"/>
      <c r="G107" s="1"/>
      <c r="H107" s="121"/>
      <c r="I107" s="1"/>
      <c r="J107" s="104"/>
      <c r="K107" s="115"/>
      <c r="L107" s="81"/>
      <c r="M107" s="1"/>
      <c r="Q107" s="115"/>
    </row>
    <row r="108" spans="1:17">
      <c r="A108" s="1"/>
      <c r="B108" s="1"/>
      <c r="C108" s="1"/>
      <c r="D108" s="1"/>
      <c r="E108" s="1"/>
      <c r="G108" s="1"/>
      <c r="H108" s="1"/>
      <c r="I108" s="1"/>
      <c r="J108" s="1"/>
      <c r="K108" s="1"/>
      <c r="L108" s="1"/>
      <c r="M108" s="1"/>
      <c r="Q108" s="1"/>
    </row>
    <row r="109" spans="1:17">
      <c r="A109" s="122"/>
      <c r="B109" s="137"/>
      <c r="C109" s="137"/>
      <c r="D109" s="137"/>
      <c r="E109" s="137"/>
      <c r="G109" s="137"/>
      <c r="H109" s="137"/>
      <c r="I109" s="137"/>
      <c r="J109" s="137"/>
      <c r="K109" s="137"/>
      <c r="L109" s="81"/>
      <c r="M109" s="137"/>
      <c r="Q109" s="137"/>
    </row>
    <row r="110" spans="1:17">
      <c r="A110" s="111"/>
      <c r="B110" s="111"/>
      <c r="C110" s="111"/>
      <c r="D110" s="111"/>
      <c r="E110" s="111"/>
      <c r="G110" s="111"/>
      <c r="H110" s="111"/>
      <c r="I110" s="111"/>
      <c r="J110" s="111"/>
      <c r="K110" s="111"/>
      <c r="L110" s="81"/>
      <c r="M110" s="111"/>
      <c r="Q110" s="111"/>
    </row>
    <row r="111" spans="1:17">
      <c r="A111" s="102"/>
      <c r="B111" s="110"/>
      <c r="C111" s="73"/>
      <c r="D111" s="73"/>
      <c r="E111" s="73"/>
      <c r="G111" s="102"/>
      <c r="H111" s="110"/>
      <c r="I111" s="73"/>
      <c r="J111" s="73"/>
      <c r="K111" s="73"/>
      <c r="L111" s="81"/>
      <c r="M111" s="102"/>
      <c r="Q111" s="73"/>
    </row>
    <row r="112" spans="1:17">
      <c r="A112" s="102"/>
      <c r="B112" s="110"/>
      <c r="C112" s="73"/>
      <c r="D112" s="73"/>
      <c r="E112" s="73"/>
      <c r="G112" s="102"/>
      <c r="H112" s="110"/>
      <c r="I112" s="73"/>
      <c r="J112" s="73"/>
      <c r="K112" s="73"/>
      <c r="L112" s="81"/>
      <c r="M112" s="102"/>
      <c r="Q112" s="73"/>
    </row>
    <row r="113" spans="1:17">
      <c r="A113" s="102"/>
      <c r="B113" s="110"/>
      <c r="C113" s="73"/>
      <c r="D113" s="73"/>
      <c r="E113" s="73"/>
      <c r="G113" s="102"/>
      <c r="H113" s="110"/>
      <c r="I113" s="73"/>
      <c r="J113" s="73"/>
      <c r="K113" s="73"/>
      <c r="L113" s="81"/>
      <c r="M113" s="102"/>
      <c r="Q113" s="73"/>
    </row>
    <row r="114" spans="1:17">
      <c r="A114" s="102"/>
      <c r="B114" s="107"/>
      <c r="C114" s="73"/>
      <c r="D114" s="73"/>
      <c r="E114" s="73"/>
      <c r="G114" s="102"/>
      <c r="H114" s="107"/>
      <c r="I114" s="73"/>
      <c r="J114" s="73"/>
      <c r="K114" s="73"/>
      <c r="L114" s="81"/>
      <c r="M114" s="102"/>
      <c r="Q114" s="73"/>
    </row>
    <row r="115" spans="1:17">
      <c r="A115" s="102"/>
      <c r="B115" s="107"/>
      <c r="C115" s="73"/>
      <c r="D115" s="73"/>
      <c r="E115" s="73"/>
      <c r="G115" s="102"/>
      <c r="H115" s="107"/>
      <c r="I115" s="73"/>
      <c r="J115" s="73"/>
      <c r="K115" s="73"/>
      <c r="L115" s="81"/>
      <c r="M115" s="102"/>
      <c r="Q115" s="73"/>
    </row>
    <row r="116" spans="1:17">
      <c r="A116" s="102"/>
      <c r="B116" s="110"/>
      <c r="C116" s="73"/>
      <c r="D116" s="73"/>
      <c r="E116" s="68"/>
      <c r="G116" s="102"/>
      <c r="H116" s="110"/>
      <c r="I116" s="73"/>
      <c r="J116" s="73"/>
      <c r="K116" s="68"/>
      <c r="L116" s="81"/>
      <c r="M116" s="102"/>
      <c r="Q116" s="68"/>
    </row>
    <row r="117" spans="1:17">
      <c r="A117" s="1"/>
      <c r="B117" s="104"/>
      <c r="C117" s="64"/>
      <c r="D117" s="64"/>
      <c r="E117" s="105"/>
      <c r="G117" s="1"/>
      <c r="H117" s="104"/>
      <c r="I117" s="64"/>
      <c r="J117" s="64"/>
      <c r="K117" s="105"/>
      <c r="L117" s="81"/>
      <c r="M117" s="1"/>
      <c r="Q117" s="105"/>
    </row>
    <row r="118" spans="1:17">
      <c r="B118" s="94"/>
      <c r="D118" s="25"/>
      <c r="E118" s="26"/>
      <c r="G118" s="1"/>
      <c r="H118" s="121"/>
      <c r="I118" s="1"/>
      <c r="J118" s="104"/>
      <c r="K118" s="115"/>
      <c r="L118" s="1"/>
      <c r="M118" s="1"/>
      <c r="Q118" s="115"/>
    </row>
    <row r="133" spans="1:11">
      <c r="A133" s="1"/>
      <c r="B133" s="1"/>
      <c r="C133" s="1"/>
      <c r="D133" s="1"/>
      <c r="E133" s="1"/>
    </row>
    <row r="134" spans="1:11">
      <c r="A134" s="102"/>
      <c r="B134" s="110"/>
      <c r="C134" s="110"/>
      <c r="D134" s="110"/>
      <c r="E134" s="73"/>
      <c r="G134" s="102"/>
      <c r="H134" s="103"/>
      <c r="I134" s="73"/>
      <c r="J134" s="73"/>
      <c r="K134" s="73"/>
    </row>
    <row r="135" spans="1:11">
      <c r="A135" s="102"/>
      <c r="B135" s="110"/>
      <c r="C135" s="110"/>
      <c r="D135" s="110"/>
      <c r="E135" s="73"/>
      <c r="G135" s="102"/>
      <c r="H135" s="103"/>
      <c r="I135" s="73"/>
      <c r="J135" s="73"/>
      <c r="K135" s="73"/>
    </row>
    <row r="136" spans="1:11">
      <c r="A136" s="102"/>
      <c r="B136" s="110"/>
      <c r="C136" s="110"/>
      <c r="D136" s="110"/>
      <c r="E136" s="68"/>
      <c r="G136" s="102"/>
      <c r="H136" s="103"/>
      <c r="I136" s="73"/>
      <c r="J136" s="73"/>
      <c r="K136" s="68"/>
    </row>
    <row r="137" spans="1:11">
      <c r="A137" s="1"/>
      <c r="B137" s="104"/>
      <c r="C137" s="64"/>
      <c r="D137" s="64"/>
      <c r="E137" s="105"/>
      <c r="G137" s="1"/>
      <c r="H137" s="104"/>
      <c r="I137" s="64"/>
      <c r="J137" s="64"/>
      <c r="K137" s="105"/>
    </row>
  </sheetData>
  <mergeCells count="3">
    <mergeCell ref="G4:I4"/>
    <mergeCell ref="A1:AC1"/>
    <mergeCell ref="A2:AC2"/>
  </mergeCells>
  <phoneticPr fontId="21" type="noConversion"/>
  <conditionalFormatting sqref="P51:P64">
    <cfRule type="cellIs" dxfId="814" priority="10" operator="equal">
      <formula>3</formula>
    </cfRule>
    <cfRule type="cellIs" dxfId="813" priority="11" operator="equal">
      <formula>2</formula>
    </cfRule>
    <cfRule type="cellIs" dxfId="812" priority="12" operator="equal">
      <formula>1</formula>
    </cfRule>
  </conditionalFormatting>
  <conditionalFormatting sqref="Y7:Y94">
    <cfRule type="cellIs" dxfId="811" priority="7" operator="equal">
      <formula>3</formula>
    </cfRule>
    <cfRule type="cellIs" dxfId="810" priority="8" operator="equal">
      <formula>2</formula>
    </cfRule>
    <cfRule type="cellIs" dxfId="809" priority="9" operator="equal">
      <formula>1</formula>
    </cfRule>
  </conditionalFormatting>
  <conditionalFormatting sqref="AA7:AA94">
    <cfRule type="cellIs" dxfId="808" priority="4" operator="equal">
      <formula>3</formula>
    </cfRule>
    <cfRule type="cellIs" dxfId="807" priority="5" operator="equal">
      <formula>2</formula>
    </cfRule>
    <cfRule type="cellIs" dxfId="806" priority="6" operator="equal">
      <formula>1</formula>
    </cfRule>
  </conditionalFormatting>
  <conditionalFormatting sqref="AC7:AC94">
    <cfRule type="cellIs" dxfId="805" priority="1" operator="equal">
      <formula>3</formula>
    </cfRule>
    <cfRule type="cellIs" dxfId="804" priority="2" operator="equal">
      <formula>2</formula>
    </cfRule>
    <cfRule type="cellIs" dxfId="803" priority="3" operator="equal">
      <formula>1</formula>
    </cfRule>
  </conditionalFormatting>
  <pageMargins left="0.75" right="0.75" top="1" bottom="1" header="0.5" footer="0.5"/>
  <pageSetup paperSize="9" scale="28" orientation="landscape" horizontalDpi="4294967292" verticalDpi="4294967292"/>
  <rowBreaks count="1" manualBreakCount="1">
    <brk id="95" max="16383" man="1"/>
  </rowBreaks>
  <colBreaks count="1" manualBreakCount="1">
    <brk id="29" max="1048575" man="1"/>
  </colBreaks>
  <ignoredErrors>
    <ignoredError sqref="X16 X21 Z7:Z94" formula="1"/>
  </ignoredErrors>
  <tableParts count="2"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D24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5" bestFit="1" customWidth="1"/>
    <col min="2" max="2" width="4.625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4.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  <col min="34" max="34" width="0.5" customWidth="1"/>
  </cols>
  <sheetData>
    <row r="1" spans="1:8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8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"/>
      <c r="BI2" s="2"/>
    </row>
    <row r="3" spans="1:82" ht="23.25"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21">
      <c r="A4" s="8"/>
      <c r="F4" s="1"/>
      <c r="G4" s="1"/>
      <c r="H4" s="1"/>
      <c r="I4" s="1"/>
      <c r="J4" s="1"/>
      <c r="K4" s="1"/>
      <c r="L4" s="467" t="s">
        <v>372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>
      <c r="V5" s="1"/>
    </row>
    <row r="6" spans="1:82">
      <c r="A6" s="470" t="s">
        <v>511</v>
      </c>
      <c r="B6" s="471"/>
      <c r="C6" s="471"/>
      <c r="D6" s="471"/>
      <c r="E6" s="471"/>
      <c r="F6" s="472"/>
      <c r="G6" s="8"/>
      <c r="H6" s="8"/>
      <c r="I6" s="8"/>
      <c r="J6" s="8"/>
      <c r="K6" s="8"/>
      <c r="R6" s="8"/>
      <c r="S6" s="8"/>
      <c r="T6" s="8"/>
      <c r="U6" s="8"/>
      <c r="V6" s="8"/>
      <c r="W6" s="113"/>
      <c r="X6" s="113"/>
      <c r="Y6" s="39" t="s">
        <v>12</v>
      </c>
      <c r="Z6" s="43" t="s">
        <v>5</v>
      </c>
      <c r="AA6" s="44" t="s">
        <v>11</v>
      </c>
      <c r="AB6" s="113"/>
      <c r="AC6" s="8"/>
      <c r="AD6" s="8"/>
      <c r="AE6" s="8"/>
      <c r="AF6" s="8"/>
      <c r="AG6" s="8"/>
    </row>
    <row r="7" spans="1:82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12" t="s">
        <v>6</v>
      </c>
      <c r="H7" s="11"/>
      <c r="I7" s="11" t="s">
        <v>7</v>
      </c>
      <c r="J7" s="11"/>
      <c r="R7" s="10" t="s">
        <v>6</v>
      </c>
      <c r="S7" s="11"/>
      <c r="T7" s="11" t="s">
        <v>7</v>
      </c>
      <c r="U7" s="11"/>
      <c r="W7" s="111"/>
      <c r="X7" s="111"/>
      <c r="Y7" s="45" t="s">
        <v>218</v>
      </c>
      <c r="Z7" s="47">
        <f>F14</f>
        <v>71.25</v>
      </c>
      <c r="AA7" s="40">
        <f>SUMPRODUCT((Z$7:Z$7&gt;Z7)/COUNTIF(Z$7:Z$7,Z$7:Z$7&amp;""))+1</f>
        <v>1</v>
      </c>
      <c r="AB7" s="111"/>
      <c r="AC7" s="112" t="s">
        <v>6</v>
      </c>
      <c r="AD7" s="11"/>
      <c r="AE7" s="11" t="s">
        <v>7</v>
      </c>
      <c r="AF7" s="11"/>
    </row>
    <row r="8" spans="1:82">
      <c r="A8" s="12" t="s">
        <v>8</v>
      </c>
      <c r="B8" s="149">
        <v>525</v>
      </c>
      <c r="C8" s="93" t="s">
        <v>1249</v>
      </c>
      <c r="D8" s="13">
        <v>8.4499999999999993</v>
      </c>
      <c r="E8" s="13">
        <v>8.6</v>
      </c>
      <c r="F8" s="13">
        <f>SUM(D8:E8)</f>
        <v>17.049999999999997</v>
      </c>
      <c r="G8" s="11" t="e">
        <f>IF(#REF!="M",#REF!)</f>
        <v>#REF!</v>
      </c>
      <c r="H8" s="11" t="e">
        <f>IF(#REF!="F",#REF!)</f>
        <v>#REF!</v>
      </c>
      <c r="I8" s="11" t="e">
        <f>IF(#REF!="M",#REF!)</f>
        <v>#REF!</v>
      </c>
      <c r="J8" s="11" t="e">
        <f>IF(#REF!="F",#REF!)</f>
        <v>#REF!</v>
      </c>
      <c r="R8" s="11">
        <f t="shared" ref="R8:R13" si="0">IF(A8="M",D8)</f>
        <v>8.4499999999999993</v>
      </c>
      <c r="S8" s="11" t="b">
        <f t="shared" ref="S8:S13" si="1">IF(A8="F",D8)</f>
        <v>0</v>
      </c>
      <c r="T8" s="11">
        <f t="shared" ref="T8:T13" si="2">IF(A8="M",E8)</f>
        <v>8.6</v>
      </c>
      <c r="U8" s="11" t="b">
        <f t="shared" ref="U8:U13" si="3">IF(A8="F",E8)</f>
        <v>0</v>
      </c>
      <c r="W8" s="102"/>
      <c r="X8" s="152"/>
      <c r="Y8" s="54"/>
      <c r="Z8" s="62"/>
      <c r="AA8" s="210"/>
      <c r="AB8" s="73"/>
      <c r="AC8" s="11" t="b">
        <f>IF(W8="M",#REF!)</f>
        <v>0</v>
      </c>
      <c r="AD8" s="11" t="b">
        <f>IF(W8="F",#REF!)</f>
        <v>0</v>
      </c>
      <c r="AE8" s="11" t="b">
        <f>IF(W8="M",#REF!)</f>
        <v>0</v>
      </c>
      <c r="AF8" s="11" t="b">
        <f>IF(W8="F",#REF!)</f>
        <v>0</v>
      </c>
    </row>
    <row r="9" spans="1:82">
      <c r="A9" s="12" t="s">
        <v>8</v>
      </c>
      <c r="B9" s="149">
        <v>526</v>
      </c>
      <c r="C9" s="93" t="s">
        <v>1250</v>
      </c>
      <c r="D9" s="13">
        <v>9.1</v>
      </c>
      <c r="E9" s="13">
        <v>8.5</v>
      </c>
      <c r="F9" s="13">
        <f>SUM(D9:E9)</f>
        <v>17.600000000000001</v>
      </c>
      <c r="G9" s="11" t="e">
        <f>IF(#REF!="M",#REF!)</f>
        <v>#REF!</v>
      </c>
      <c r="H9" s="11" t="e">
        <f>IF(#REF!="F",#REF!)</f>
        <v>#REF!</v>
      </c>
      <c r="I9" s="11" t="e">
        <f>IF(#REF!="M",#REF!)</f>
        <v>#REF!</v>
      </c>
      <c r="J9" s="11" t="e">
        <f>IF(#REF!="F",#REF!)</f>
        <v>#REF!</v>
      </c>
      <c r="R9" s="11">
        <f t="shared" si="0"/>
        <v>9.1</v>
      </c>
      <c r="S9" s="11" t="b">
        <f t="shared" si="1"/>
        <v>0</v>
      </c>
      <c r="T9" s="11">
        <f t="shared" si="2"/>
        <v>8.5</v>
      </c>
      <c r="U9" s="11" t="b">
        <f t="shared" si="3"/>
        <v>0</v>
      </c>
      <c r="W9" s="102"/>
      <c r="X9" s="152"/>
      <c r="Y9" s="110"/>
      <c r="Z9" s="68"/>
      <c r="AA9" s="68"/>
      <c r="AB9" s="73"/>
      <c r="AC9" s="11" t="b">
        <f>IF(W9="M",#REF!)</f>
        <v>0</v>
      </c>
      <c r="AD9" s="11" t="b">
        <f>IF(W9="F",#REF!)</f>
        <v>0</v>
      </c>
      <c r="AE9" s="11" t="b">
        <f>IF(W9="M",#REF!)</f>
        <v>0</v>
      </c>
      <c r="AF9" s="11" t="b">
        <f>IF(W9="F",#REF!)</f>
        <v>0</v>
      </c>
    </row>
    <row r="10" spans="1:82">
      <c r="A10" s="12" t="s">
        <v>8</v>
      </c>
      <c r="B10" s="149">
        <v>527</v>
      </c>
      <c r="C10" s="93" t="s">
        <v>1251</v>
      </c>
      <c r="D10" s="13">
        <v>8.85</v>
      </c>
      <c r="E10" s="13">
        <v>9.1</v>
      </c>
      <c r="F10" s="13">
        <f t="shared" ref="F10:F13" si="4">SUM(D10:E10)</f>
        <v>17.95</v>
      </c>
      <c r="G10" s="11" t="e">
        <f>IF(#REF!="M",#REF!)</f>
        <v>#REF!</v>
      </c>
      <c r="H10" s="11" t="e">
        <f>IF(#REF!="F",#REF!)</f>
        <v>#REF!</v>
      </c>
      <c r="I10" s="11" t="e">
        <f>IF(#REF!="M",#REF!)</f>
        <v>#REF!</v>
      </c>
      <c r="J10" s="11" t="e">
        <f>IF(#REF!="F",#REF!)</f>
        <v>#REF!</v>
      </c>
      <c r="R10" s="11">
        <f t="shared" si="0"/>
        <v>8.85</v>
      </c>
      <c r="S10" s="11" t="b">
        <f t="shared" si="1"/>
        <v>0</v>
      </c>
      <c r="T10" s="11">
        <f t="shared" si="2"/>
        <v>9.1</v>
      </c>
      <c r="U10" s="11" t="b">
        <f t="shared" si="3"/>
        <v>0</v>
      </c>
      <c r="W10" s="102"/>
      <c r="X10" s="152"/>
      <c r="Y10" s="110"/>
      <c r="Z10" s="68"/>
      <c r="AA10" s="68"/>
      <c r="AB10" s="73"/>
      <c r="AC10" s="11" t="b">
        <f>IF(W10="M",#REF!)</f>
        <v>0</v>
      </c>
      <c r="AD10" s="11" t="b">
        <f>IF(W10="F",#REF!)</f>
        <v>0</v>
      </c>
      <c r="AE10" s="11" t="b">
        <f>IF(W10="M",#REF!)</f>
        <v>0</v>
      </c>
      <c r="AF10" s="11" t="b">
        <f>IF(W10="F",#REF!)</f>
        <v>0</v>
      </c>
    </row>
    <row r="11" spans="1:82">
      <c r="A11" s="12" t="s">
        <v>9</v>
      </c>
      <c r="B11" s="149">
        <v>528</v>
      </c>
      <c r="C11" s="93" t="s">
        <v>1252</v>
      </c>
      <c r="D11" s="14">
        <v>8.15</v>
      </c>
      <c r="E11" s="14">
        <v>8.6999999999999993</v>
      </c>
      <c r="F11" s="13">
        <f t="shared" si="4"/>
        <v>16.850000000000001</v>
      </c>
      <c r="G11" s="15" t="e">
        <f>IF(#REF!="M",#REF!)</f>
        <v>#REF!</v>
      </c>
      <c r="H11" s="15" t="e">
        <f>IF(#REF!="F",#REF!)</f>
        <v>#REF!</v>
      </c>
      <c r="I11" s="15" t="e">
        <f>IF(#REF!="M",#REF!)</f>
        <v>#REF!</v>
      </c>
      <c r="J11" s="15" t="e">
        <f>IF(#REF!="F",#REF!)</f>
        <v>#REF!</v>
      </c>
      <c r="K11" s="8"/>
      <c r="R11" s="15" t="b">
        <f t="shared" si="0"/>
        <v>0</v>
      </c>
      <c r="S11" s="15">
        <f t="shared" si="1"/>
        <v>8.15</v>
      </c>
      <c r="T11" s="15" t="b">
        <f t="shared" si="2"/>
        <v>0</v>
      </c>
      <c r="U11" s="15">
        <f t="shared" si="3"/>
        <v>8.6999999999999993</v>
      </c>
      <c r="V11" s="8"/>
      <c r="W11" s="102"/>
      <c r="X11" s="152"/>
      <c r="Y11" s="110"/>
      <c r="Z11" s="68"/>
      <c r="AA11" s="68"/>
      <c r="AB11" s="73"/>
      <c r="AC11" s="15" t="b">
        <f>IF(W11="M",#REF!)</f>
        <v>0</v>
      </c>
      <c r="AD11" s="15" t="b">
        <f>IF(W11="F",#REF!)</f>
        <v>0</v>
      </c>
      <c r="AE11" s="15" t="b">
        <f>IF(W11="M",#REF!)</f>
        <v>0</v>
      </c>
      <c r="AF11" s="15" t="b">
        <f>IF(W11="F",#REF!)</f>
        <v>0</v>
      </c>
      <c r="AG11" s="8"/>
    </row>
    <row r="12" spans="1:82">
      <c r="A12" s="12" t="s">
        <v>9</v>
      </c>
      <c r="B12" s="149">
        <v>529</v>
      </c>
      <c r="C12" s="93" t="s">
        <v>1253</v>
      </c>
      <c r="D12" s="14">
        <v>9.1999999999999993</v>
      </c>
      <c r="E12" s="14">
        <v>8.6</v>
      </c>
      <c r="F12" s="13">
        <f t="shared" si="4"/>
        <v>17.799999999999997</v>
      </c>
      <c r="G12" s="15" t="e">
        <f>IF(#REF!="M",#REF!)</f>
        <v>#REF!</v>
      </c>
      <c r="H12" s="15" t="e">
        <f>IF(#REF!="F",#REF!)</f>
        <v>#REF!</v>
      </c>
      <c r="I12" s="15" t="e">
        <f>IF(#REF!="M",#REF!)</f>
        <v>#REF!</v>
      </c>
      <c r="J12" s="15" t="e">
        <f>IF(#REF!="F",#REF!)</f>
        <v>#REF!</v>
      </c>
      <c r="K12" s="8"/>
      <c r="R12" s="15" t="b">
        <f t="shared" si="0"/>
        <v>0</v>
      </c>
      <c r="S12" s="15">
        <f t="shared" si="1"/>
        <v>9.1999999999999993</v>
      </c>
      <c r="T12" s="15" t="b">
        <f t="shared" si="2"/>
        <v>0</v>
      </c>
      <c r="U12" s="15">
        <f t="shared" si="3"/>
        <v>8.6</v>
      </c>
      <c r="V12" s="8"/>
      <c r="W12" s="102"/>
      <c r="X12" s="152"/>
      <c r="Y12" s="84"/>
      <c r="Z12" s="64"/>
      <c r="AA12" s="64"/>
      <c r="AB12" s="73"/>
      <c r="AC12" s="15" t="b">
        <f>IF(W12="M",Z8)</f>
        <v>0</v>
      </c>
      <c r="AD12" s="15" t="b">
        <f>IF(W12="F",Z8)</f>
        <v>0</v>
      </c>
      <c r="AE12" s="15" t="b">
        <f>IF(W12="M",AA8)</f>
        <v>0</v>
      </c>
      <c r="AF12" s="15" t="b">
        <f>IF(W12="F",AA8)</f>
        <v>0</v>
      </c>
      <c r="AG12" s="8"/>
    </row>
    <row r="13" spans="1:82" ht="16.5" thickBot="1">
      <c r="A13" s="12" t="s">
        <v>9</v>
      </c>
      <c r="B13" s="149">
        <v>530</v>
      </c>
      <c r="C13" s="93" t="s">
        <v>1254</v>
      </c>
      <c r="D13" s="14">
        <v>9.1</v>
      </c>
      <c r="E13" s="14">
        <v>8.5</v>
      </c>
      <c r="F13" s="13">
        <f t="shared" si="4"/>
        <v>17.600000000000001</v>
      </c>
      <c r="G13" s="15" t="e">
        <f>IF(#REF!="M",#REF!)</f>
        <v>#REF!</v>
      </c>
      <c r="H13" s="15" t="e">
        <f>IF(#REF!="F",#REF!)</f>
        <v>#REF!</v>
      </c>
      <c r="I13" s="15" t="e">
        <f>IF(#REF!="M",#REF!)</f>
        <v>#REF!</v>
      </c>
      <c r="J13" s="15" t="e">
        <f>IF(#REF!="F",#REF!)</f>
        <v>#REF!</v>
      </c>
      <c r="K13" s="8"/>
      <c r="R13" s="15" t="b">
        <f t="shared" si="0"/>
        <v>0</v>
      </c>
      <c r="S13" s="15">
        <f t="shared" si="1"/>
        <v>9.1</v>
      </c>
      <c r="T13" s="15" t="b">
        <f t="shared" si="2"/>
        <v>0</v>
      </c>
      <c r="U13" s="15">
        <f t="shared" si="3"/>
        <v>8.5</v>
      </c>
      <c r="V13" s="8"/>
      <c r="W13" s="102"/>
      <c r="X13" s="152"/>
      <c r="AB13" s="73"/>
      <c r="AC13" s="15" t="b">
        <f>IF(W13="M",Z9)</f>
        <v>0</v>
      </c>
      <c r="AD13" s="15" t="b">
        <f>IF(W13="F",Z9)</f>
        <v>0</v>
      </c>
      <c r="AE13" s="15" t="b">
        <f>IF(W13="M",AA9)</f>
        <v>0</v>
      </c>
      <c r="AF13" s="15" t="b">
        <f>IF(W13="F",AA9)</f>
        <v>0</v>
      </c>
      <c r="AG13" s="8"/>
    </row>
    <row r="14" spans="1:82" ht="16.5" thickBot="1">
      <c r="A14" s="8"/>
      <c r="B14" s="8"/>
      <c r="C14" s="18" t="s">
        <v>10</v>
      </c>
      <c r="D14" s="19">
        <f>R15+S15</f>
        <v>36.25</v>
      </c>
      <c r="E14" s="19">
        <f>T15+U15</f>
        <v>35</v>
      </c>
      <c r="F14" s="20">
        <f>SUM(D14:E14)</f>
        <v>71.25</v>
      </c>
      <c r="G14" s="8" t="e">
        <f>COUNTIF(#REF!,"M")</f>
        <v>#REF!</v>
      </c>
      <c r="H14" s="8" t="e">
        <f>COUNTIF(#REF!,"F")</f>
        <v>#REF!</v>
      </c>
      <c r="I14" s="8" t="e">
        <f>COUNTIF(#REF!,"M")</f>
        <v>#REF!</v>
      </c>
      <c r="J14" s="8" t="e">
        <f>COUNTIF(#REF!,"F")</f>
        <v>#REF!</v>
      </c>
      <c r="K14" s="8"/>
      <c r="R14" s="8">
        <f>COUNTIF(A8:A13,"M")</f>
        <v>3</v>
      </c>
      <c r="S14" s="8">
        <f>COUNTIF(A8:A13,"F")</f>
        <v>3</v>
      </c>
      <c r="T14" s="8">
        <f>COUNTIF(A8:A13,"M")</f>
        <v>3</v>
      </c>
      <c r="U14" s="8">
        <f>COUNTIF(A8:A13,"F")</f>
        <v>3</v>
      </c>
      <c r="V14" s="8"/>
      <c r="W14" s="106"/>
      <c r="X14" s="106"/>
      <c r="AB14" s="105"/>
      <c r="AC14" s="8">
        <f>COUNTIF(W8:W13,"M")</f>
        <v>0</v>
      </c>
      <c r="AD14" s="8">
        <f>COUNTIF(W8:W13,"F")</f>
        <v>0</v>
      </c>
      <c r="AE14" s="8">
        <f>COUNTIF(W8:W13,"M")</f>
        <v>0</v>
      </c>
      <c r="AF14" s="8">
        <f>COUNTIF(W8:W13,"F")</f>
        <v>0</v>
      </c>
      <c r="AG14" s="8"/>
    </row>
    <row r="15" spans="1:82">
      <c r="A15" s="1"/>
      <c r="B15" s="1"/>
      <c r="C15" s="94" t="s">
        <v>1302</v>
      </c>
      <c r="D15" s="106"/>
      <c r="E15" s="84"/>
      <c r="F15" s="85"/>
      <c r="G15" s="23" t="e">
        <f>IF(G14=2,SUM(G8:G13),IF(G14=3,SUM(G8:G13)-SMALL(G8:G13,1),IF(G14=4,SUM(G8:G13)-SMALL(G8:G13,1)-SMALL(G8:G13,2))))</f>
        <v>#REF!</v>
      </c>
      <c r="H15" s="23" t="e">
        <f>IF(H14=2,SUM(H8:H13),IF(H14=3,SUM(H8:H13)-SMALL(H8:H13,1),IF(H14=4,SUM(H8:H13)-SMALL(H8:H13,1)-SMALL(H8:H13,2))))</f>
        <v>#REF!</v>
      </c>
      <c r="I15" s="23" t="e">
        <f>IF(I14=2,SUM(I8:I13),IF(I14=3,SUM(I8:I13)-SMALL(I8:I13,1),IF(I14=4,SUM(I8:I13)-SMALL(I8:I13,1)-SMALL(I8:I13,2))))</f>
        <v>#REF!</v>
      </c>
      <c r="J15" s="23" t="e">
        <f>IF(J14=2,SUM(J8:J13),IF(J14=3,SUM(J8:J13)-SMALL(J8:J13,1),IF(J14=4,SUM(J8:J13)-SMALL(J8:J13,1)-SMALL(J8:J13,2))))</f>
        <v>#REF!</v>
      </c>
      <c r="K15" s="8"/>
      <c r="O15" s="8"/>
      <c r="P15" s="18"/>
      <c r="Q15" s="22"/>
      <c r="R15" s="23">
        <f>IF(R14=2,SUM(R8:R13),IF(R14=3,SUM(R8:R13)-SMALL(R8:R13,1),IF(R14=4,SUM(R8:R13)-SMALL(R8:R13,1)-SMALL(R8:R13,2))))</f>
        <v>17.95</v>
      </c>
      <c r="S15" s="23">
        <f>IF(S14=2,SUM(S8:S13),IF(S14=3,SUM(S8:S13)-SMALL(S8:S13,1),IF(S14=4,SUM(S8:S13)-SMALL(S8:S13,1)-SMALL(S8:S13,2))))</f>
        <v>18.300000000000004</v>
      </c>
      <c r="T15" s="23">
        <f>IF(T14=2,SUM(T8:T13),IF(T14=3,SUM(T8:T13)-SMALL(T8:T13,1),IF(T14=4,SUM(T8:T13)-SMALL(T8:T13,1)-SMALL(T8:T13,2))))</f>
        <v>17.700000000000003</v>
      </c>
      <c r="U15" s="23">
        <f>IF(U14=2,SUM(U8:U13),IF(U14=3,SUM(U8:U13)-SMALL(U8:U13,1),IF(U14=4,SUM(U8:U13)-SMALL(U8:U13,1)-SMALL(U8:U13,2))))</f>
        <v>17.299999999999997</v>
      </c>
      <c r="V15" s="8"/>
    </row>
    <row r="16" spans="1:82">
      <c r="A16" s="233"/>
      <c r="B16" s="233"/>
      <c r="C16" s="233"/>
      <c r="D16" s="233"/>
      <c r="E16" s="233"/>
      <c r="F16" s="233"/>
    </row>
    <row r="17" spans="1:6">
      <c r="A17" s="111"/>
      <c r="B17" s="111"/>
      <c r="C17" s="111"/>
      <c r="D17" s="111"/>
      <c r="E17" s="111"/>
      <c r="F17" s="111"/>
    </row>
    <row r="18" spans="1:6">
      <c r="A18" s="102"/>
      <c r="B18" s="152"/>
      <c r="C18" s="110"/>
      <c r="D18" s="73"/>
      <c r="E18" s="73"/>
      <c r="F18" s="73"/>
    </row>
    <row r="19" spans="1:6">
      <c r="A19" s="102"/>
      <c r="B19" s="152"/>
      <c r="C19" s="110"/>
      <c r="D19" s="73"/>
      <c r="E19" s="73"/>
      <c r="F19" s="73"/>
    </row>
    <row r="20" spans="1:6">
      <c r="A20" s="102"/>
      <c r="B20" s="152"/>
      <c r="C20" s="110"/>
      <c r="D20" s="73"/>
      <c r="E20" s="73"/>
      <c r="F20" s="73"/>
    </row>
    <row r="21" spans="1:6">
      <c r="A21" s="102"/>
      <c r="B21" s="152"/>
      <c r="C21" s="110"/>
      <c r="D21" s="68"/>
      <c r="E21" s="68"/>
      <c r="F21" s="73"/>
    </row>
    <row r="22" spans="1:6">
      <c r="A22" s="102"/>
      <c r="B22" s="152"/>
      <c r="C22" s="110"/>
      <c r="D22" s="68"/>
      <c r="E22" s="68"/>
      <c r="F22" s="73"/>
    </row>
    <row r="23" spans="1:6">
      <c r="A23" s="102"/>
      <c r="B23" s="152"/>
      <c r="C23" s="110"/>
      <c r="D23" s="68"/>
      <c r="E23" s="68"/>
      <c r="F23" s="73"/>
    </row>
    <row r="24" spans="1:6">
      <c r="A24" s="106"/>
      <c r="B24" s="106"/>
      <c r="C24" s="84"/>
      <c r="D24" s="64"/>
      <c r="E24" s="64"/>
      <c r="F24" s="105"/>
    </row>
  </sheetData>
  <mergeCells count="4">
    <mergeCell ref="A1:AB1"/>
    <mergeCell ref="A2:AB2"/>
    <mergeCell ref="L4:O4"/>
    <mergeCell ref="A6:F6"/>
  </mergeCells>
  <phoneticPr fontId="21" type="noConversion"/>
  <conditionalFormatting sqref="AA7">
    <cfRule type="cellIs" dxfId="786" priority="1" operator="equal">
      <formula>3</formula>
    </cfRule>
    <cfRule type="cellIs" dxfId="785" priority="2" operator="equal">
      <formula>2</formula>
    </cfRule>
    <cfRule type="cellIs" dxfId="784" priority="3" operator="equal">
      <formula>1</formula>
    </cfRule>
  </conditionalFormatting>
  <pageMargins left="0.7" right="0.7" top="0.75" bottom="0.75" header="0.3" footer="0.3"/>
  <pageSetup paperSize="9" scale="71" orientation="landscape" horizontalDpi="4294967292" verticalDpi="4294967292"/>
  <colBreaks count="1" manualBreakCount="1">
    <brk id="33" max="1048575" man="1"/>
  </colBreaks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28"/>
  <sheetViews>
    <sheetView topLeftCell="B1" zoomScale="90" zoomScaleNormal="80" zoomScalePageLayoutView="80" workbookViewId="0">
      <selection activeCell="A3" sqref="A3"/>
    </sheetView>
  </sheetViews>
  <sheetFormatPr defaultColWidth="8.875" defaultRowHeight="15.75"/>
  <cols>
    <col min="1" max="1" width="4.87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5.375" bestFit="1" customWidth="1"/>
    <col min="8" max="8" width="19.125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625" customWidth="1"/>
    <col min="22" max="22" width="6.375" customWidth="1"/>
    <col min="23" max="23" width="23" bestFit="1" customWidth="1"/>
    <col min="24" max="24" width="10.125" customWidth="1"/>
    <col min="25" max="25" width="5.125" customWidth="1"/>
    <col min="26" max="26" width="7.5" customWidth="1"/>
    <col min="27" max="27" width="5.125" style="50" customWidth="1"/>
    <col min="28" max="28" width="8.625" style="31" customWidth="1"/>
    <col min="29" max="29" width="5.125" style="6" customWidth="1"/>
  </cols>
  <sheetData>
    <row r="1" spans="1:70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128"/>
      <c r="AE1" s="128"/>
      <c r="AF1" s="128"/>
      <c r="AG1" s="128"/>
      <c r="AH1" s="128"/>
      <c r="AI1" s="128"/>
      <c r="AJ1" s="128"/>
      <c r="AK1" s="128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s="32" customFormat="1" ht="21" customHeight="1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129"/>
      <c r="AE2" s="129"/>
      <c r="AF2" s="129"/>
      <c r="AG2" s="129"/>
      <c r="AH2" s="129"/>
      <c r="AI2" s="129"/>
      <c r="AJ2" s="129"/>
      <c r="AK2" s="3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"/>
      <c r="BR2" s="2"/>
    </row>
    <row r="3" spans="1:70" ht="28.5" customHeight="1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A4" s="8"/>
      <c r="E4" s="1"/>
      <c r="F4" s="1"/>
      <c r="G4" s="461" t="s">
        <v>118</v>
      </c>
      <c r="H4" s="462"/>
      <c r="I4" s="463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>
      <c r="A5" s="8"/>
    </row>
    <row r="6" spans="1:70" s="8" customFormat="1">
      <c r="A6" s="333" t="s">
        <v>555</v>
      </c>
      <c r="B6" s="125"/>
      <c r="C6" s="125"/>
      <c r="D6" s="125"/>
      <c r="E6" s="126"/>
      <c r="G6" s="333" t="s">
        <v>415</v>
      </c>
      <c r="H6" s="173"/>
      <c r="I6" s="173"/>
      <c r="J6" s="173"/>
      <c r="K6" s="174"/>
      <c r="M6" s="333" t="s">
        <v>416</v>
      </c>
      <c r="N6" s="173"/>
      <c r="O6" s="173"/>
      <c r="P6" s="173"/>
      <c r="Q6" s="174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33" t="s">
        <v>81</v>
      </c>
      <c r="V7" s="149">
        <v>555</v>
      </c>
      <c r="W7" s="100" t="s">
        <v>689</v>
      </c>
      <c r="X7" s="13">
        <f>I19</f>
        <v>9.5</v>
      </c>
      <c r="Y7" s="283">
        <f>SUMPRODUCT((X$7:X$28&gt;X7)/COUNTIF(X$7:X$28,X$7:X$28&amp;""))+1</f>
        <v>3</v>
      </c>
      <c r="Z7" s="13">
        <f>J19</f>
        <v>8.1999999999999993</v>
      </c>
      <c r="AA7" s="283">
        <f>SUMPRODUCT((Z$7:Z$28&gt;Z7)/COUNTIF(Z$7:Z$28,Z$7:Z$28&amp;""))+1</f>
        <v>4</v>
      </c>
      <c r="AB7" s="315">
        <f>Table351213142445[[#This Row],[Floor]]+Table351213142445[[#This Row],[Vault]]</f>
        <v>17.7</v>
      </c>
      <c r="AC7" s="283">
        <f>SUMPRODUCT((AB$7:AB$28&gt;AB7)/COUNTIF(AB$7:AB$28,AB$7:AB$28&amp;""))+1</f>
        <v>2</v>
      </c>
    </row>
    <row r="8" spans="1:70">
      <c r="A8" s="149">
        <v>531</v>
      </c>
      <c r="B8" s="93" t="s">
        <v>386</v>
      </c>
      <c r="C8" s="13">
        <v>8.6999999999999993</v>
      </c>
      <c r="D8" s="13">
        <v>7.55</v>
      </c>
      <c r="E8" s="13">
        <f>SUM(C8,D8)</f>
        <v>16.25</v>
      </c>
      <c r="G8" s="149">
        <v>537</v>
      </c>
      <c r="H8" s="93" t="s">
        <v>439</v>
      </c>
      <c r="I8" s="13">
        <v>9.0500000000000007</v>
      </c>
      <c r="J8" s="13">
        <v>8.3000000000000007</v>
      </c>
      <c r="K8" s="13">
        <f>SUM(I8,J8)</f>
        <v>17.350000000000001</v>
      </c>
      <c r="M8" s="149">
        <v>543</v>
      </c>
      <c r="N8" s="93" t="s">
        <v>441</v>
      </c>
      <c r="O8" s="13">
        <v>9.0500000000000007</v>
      </c>
      <c r="P8" s="13">
        <v>8.3000000000000007</v>
      </c>
      <c r="Q8" s="13">
        <f>SUM(O8,P8)</f>
        <v>17.350000000000001</v>
      </c>
      <c r="U8" s="33" t="s">
        <v>983</v>
      </c>
      <c r="V8" s="149">
        <v>531</v>
      </c>
      <c r="W8" s="93" t="s">
        <v>386</v>
      </c>
      <c r="X8" s="13">
        <f>C8</f>
        <v>8.6999999999999993</v>
      </c>
      <c r="Y8" s="283">
        <f t="shared" ref="Y8:Y28" si="0">SUMPRODUCT((X$7:X$28&gt;X8)/COUNTIF(X$7:X$28,X$7:X$28&amp;""))+1</f>
        <v>10</v>
      </c>
      <c r="Z8" s="13">
        <f>D8</f>
        <v>7.55</v>
      </c>
      <c r="AA8" s="283">
        <f t="shared" ref="AA8:AA28" si="1">SUMPRODUCT((Z$7:Z$28&gt;Z8)/COUNTIF(Z$7:Z$28,Z$7:Z$28&amp;""))+1</f>
        <v>10</v>
      </c>
      <c r="AB8" s="315">
        <f>Table351213142445[[#This Row],[Floor]]+Table351213142445[[#This Row],[Vault]]</f>
        <v>16.25</v>
      </c>
      <c r="AC8" s="283">
        <f t="shared" ref="AC8:AC28" si="2">SUMPRODUCT((AB$7:AB$28&gt;AB8)/COUNTIF(AB$7:AB$28,AB$7:AB$28&amp;""))+1</f>
        <v>14</v>
      </c>
    </row>
    <row r="9" spans="1:70">
      <c r="A9" s="149">
        <v>532</v>
      </c>
      <c r="B9" s="93" t="s">
        <v>387</v>
      </c>
      <c r="C9" s="13">
        <v>9.1</v>
      </c>
      <c r="D9" s="13">
        <v>7.5</v>
      </c>
      <c r="E9" s="13">
        <f t="shared" ref="E9:E13" si="3">SUM(C9,D9)</f>
        <v>16.600000000000001</v>
      </c>
      <c r="G9" s="149">
        <v>538</v>
      </c>
      <c r="H9" s="93" t="s">
        <v>408</v>
      </c>
      <c r="I9" s="13">
        <v>9.6</v>
      </c>
      <c r="J9" s="13">
        <v>8.8000000000000007</v>
      </c>
      <c r="K9" s="13">
        <f t="shared" ref="K9:K13" si="4">SUM(I9,J9)</f>
        <v>18.399999999999999</v>
      </c>
      <c r="M9" s="149">
        <v>544</v>
      </c>
      <c r="N9" s="93" t="s">
        <v>442</v>
      </c>
      <c r="O9" s="13">
        <v>8.9499999999999993</v>
      </c>
      <c r="P9" s="13">
        <v>8</v>
      </c>
      <c r="Q9" s="13">
        <f t="shared" ref="Q9:Q13" si="5">SUM(O9,P9)</f>
        <v>16.95</v>
      </c>
      <c r="U9" s="33" t="s">
        <v>983</v>
      </c>
      <c r="V9" s="149">
        <v>532</v>
      </c>
      <c r="W9" s="93" t="s">
        <v>387</v>
      </c>
      <c r="X9" s="13">
        <f t="shared" ref="X9:X11" si="6">C9</f>
        <v>9.1</v>
      </c>
      <c r="Y9" s="283">
        <f t="shared" si="0"/>
        <v>5</v>
      </c>
      <c r="Z9" s="13">
        <f t="shared" ref="Z9:Z11" si="7">D9</f>
        <v>7.5</v>
      </c>
      <c r="AA9" s="283">
        <f t="shared" si="1"/>
        <v>11</v>
      </c>
      <c r="AB9" s="315">
        <f>Table351213142445[[#This Row],[Floor]]+Table351213142445[[#This Row],[Vault]]</f>
        <v>16.600000000000001</v>
      </c>
      <c r="AC9" s="283">
        <f t="shared" si="2"/>
        <v>10</v>
      </c>
    </row>
    <row r="10" spans="1:70">
      <c r="A10" s="149">
        <v>533</v>
      </c>
      <c r="B10" s="93" t="s">
        <v>985</v>
      </c>
      <c r="C10" s="13">
        <v>8.75</v>
      </c>
      <c r="D10" s="13">
        <v>7.35</v>
      </c>
      <c r="E10" s="13">
        <f t="shared" si="3"/>
        <v>16.100000000000001</v>
      </c>
      <c r="G10" s="149">
        <v>539</v>
      </c>
      <c r="H10" s="93" t="s">
        <v>440</v>
      </c>
      <c r="I10" s="13">
        <v>9</v>
      </c>
      <c r="J10" s="13">
        <v>8.35</v>
      </c>
      <c r="K10" s="13">
        <f t="shared" si="4"/>
        <v>17.350000000000001</v>
      </c>
      <c r="M10" s="149">
        <v>545</v>
      </c>
      <c r="N10" s="93" t="s">
        <v>1023</v>
      </c>
      <c r="O10" s="13">
        <v>8.4499999999999993</v>
      </c>
      <c r="P10" s="13">
        <v>7.55</v>
      </c>
      <c r="Q10" s="13">
        <f t="shared" si="5"/>
        <v>16</v>
      </c>
      <c r="U10" s="33" t="s">
        <v>983</v>
      </c>
      <c r="V10" s="149">
        <v>533</v>
      </c>
      <c r="W10" s="93" t="s">
        <v>985</v>
      </c>
      <c r="X10" s="13">
        <f>C10</f>
        <v>8.75</v>
      </c>
      <c r="Y10" s="283">
        <f t="shared" si="0"/>
        <v>9</v>
      </c>
      <c r="Z10" s="13">
        <f>D10</f>
        <v>7.35</v>
      </c>
      <c r="AA10" s="283">
        <f t="shared" si="1"/>
        <v>12</v>
      </c>
      <c r="AB10" s="315">
        <f>Table351213142445[[#This Row],[Floor]]+Table351213142445[[#This Row],[Vault]]</f>
        <v>16.100000000000001</v>
      </c>
      <c r="AC10" s="283">
        <f t="shared" si="2"/>
        <v>15</v>
      </c>
    </row>
    <row r="11" spans="1:70">
      <c r="A11" s="149">
        <v>534</v>
      </c>
      <c r="B11" s="93" t="s">
        <v>986</v>
      </c>
      <c r="C11" s="13">
        <v>9.0500000000000007</v>
      </c>
      <c r="D11" s="13">
        <v>7.5</v>
      </c>
      <c r="E11" s="13">
        <f t="shared" si="3"/>
        <v>16.55</v>
      </c>
      <c r="G11" s="149">
        <v>540</v>
      </c>
      <c r="H11" s="93" t="s">
        <v>1022</v>
      </c>
      <c r="I11" s="13">
        <v>9.6</v>
      </c>
      <c r="J11" s="13">
        <v>8.8000000000000007</v>
      </c>
      <c r="K11" s="13">
        <f t="shared" si="4"/>
        <v>18.399999999999999</v>
      </c>
      <c r="M11" s="149">
        <v>546</v>
      </c>
      <c r="N11" s="93" t="s">
        <v>1024</v>
      </c>
      <c r="O11" s="13">
        <v>9.8000000000000007</v>
      </c>
      <c r="P11" s="13">
        <v>7.2</v>
      </c>
      <c r="Q11" s="13">
        <f t="shared" si="5"/>
        <v>17</v>
      </c>
      <c r="U11" s="33" t="s">
        <v>983</v>
      </c>
      <c r="V11" s="149">
        <v>534</v>
      </c>
      <c r="W11" s="93" t="s">
        <v>986</v>
      </c>
      <c r="X11" s="13">
        <f t="shared" si="6"/>
        <v>9.0500000000000007</v>
      </c>
      <c r="Y11" s="283">
        <f t="shared" si="0"/>
        <v>6</v>
      </c>
      <c r="Z11" s="13">
        <f t="shared" si="7"/>
        <v>7.5</v>
      </c>
      <c r="AA11" s="283">
        <f t="shared" si="1"/>
        <v>11</v>
      </c>
      <c r="AB11" s="315">
        <f>Table351213142445[[#This Row],[Floor]]+Table351213142445[[#This Row],[Vault]]</f>
        <v>16.55</v>
      </c>
      <c r="AC11" s="283">
        <f t="shared" si="2"/>
        <v>11</v>
      </c>
    </row>
    <row r="12" spans="1:70">
      <c r="A12" s="149">
        <v>535</v>
      </c>
      <c r="B12" s="93" t="s">
        <v>987</v>
      </c>
      <c r="C12" s="13">
        <v>8.75</v>
      </c>
      <c r="D12" s="13">
        <v>7.55</v>
      </c>
      <c r="E12" s="13">
        <f t="shared" si="3"/>
        <v>16.3</v>
      </c>
      <c r="G12" s="149">
        <v>541</v>
      </c>
      <c r="H12" s="97"/>
      <c r="I12" s="13">
        <v>0</v>
      </c>
      <c r="J12" s="13">
        <v>0</v>
      </c>
      <c r="K12" s="13">
        <f t="shared" si="4"/>
        <v>0</v>
      </c>
      <c r="M12" s="149">
        <v>547</v>
      </c>
      <c r="N12" s="97"/>
      <c r="O12" s="13">
        <v>0</v>
      </c>
      <c r="P12" s="13">
        <v>0</v>
      </c>
      <c r="Q12" s="13">
        <f t="shared" si="5"/>
        <v>0</v>
      </c>
      <c r="U12" s="33" t="s">
        <v>983</v>
      </c>
      <c r="V12" s="149">
        <v>535</v>
      </c>
      <c r="W12" s="93" t="s">
        <v>987</v>
      </c>
      <c r="X12" s="13">
        <f>C12</f>
        <v>8.75</v>
      </c>
      <c r="Y12" s="283">
        <f t="shared" si="0"/>
        <v>9</v>
      </c>
      <c r="Z12" s="13">
        <f>D12</f>
        <v>7.55</v>
      </c>
      <c r="AA12" s="283">
        <f t="shared" si="1"/>
        <v>10</v>
      </c>
      <c r="AB12" s="315">
        <f>Table351213142445[[#This Row],[Floor]]+Table351213142445[[#This Row],[Vault]]</f>
        <v>16.3</v>
      </c>
      <c r="AC12" s="283">
        <f t="shared" si="2"/>
        <v>13</v>
      </c>
    </row>
    <row r="13" spans="1:70" ht="16.5" thickBot="1">
      <c r="A13" s="149">
        <v>536</v>
      </c>
      <c r="B13" s="97"/>
      <c r="C13" s="13">
        <v>0</v>
      </c>
      <c r="D13" s="13">
        <v>0</v>
      </c>
      <c r="E13" s="13">
        <f t="shared" si="3"/>
        <v>0</v>
      </c>
      <c r="F13" s="8"/>
      <c r="G13" s="149">
        <v>542</v>
      </c>
      <c r="H13" s="97"/>
      <c r="I13" s="13">
        <v>0</v>
      </c>
      <c r="J13" s="13">
        <v>0</v>
      </c>
      <c r="K13" s="13">
        <f t="shared" si="4"/>
        <v>0</v>
      </c>
      <c r="L13" s="8"/>
      <c r="M13" s="149">
        <v>548</v>
      </c>
      <c r="N13" s="97"/>
      <c r="O13" s="13">
        <v>0</v>
      </c>
      <c r="P13" s="13">
        <v>0</v>
      </c>
      <c r="Q13" s="13">
        <f t="shared" si="5"/>
        <v>0</v>
      </c>
      <c r="U13" s="33" t="s">
        <v>391</v>
      </c>
      <c r="V13" s="149">
        <v>537</v>
      </c>
      <c r="W13" s="93" t="s">
        <v>439</v>
      </c>
      <c r="X13" s="13">
        <f>I8</f>
        <v>9.0500000000000007</v>
      </c>
      <c r="Y13" s="283">
        <f t="shared" si="0"/>
        <v>6</v>
      </c>
      <c r="Z13" s="13">
        <f>J8</f>
        <v>8.3000000000000007</v>
      </c>
      <c r="AA13" s="283">
        <f t="shared" si="1"/>
        <v>3</v>
      </c>
      <c r="AB13" s="315">
        <f>Table351213142445[[#This Row],[Floor]]+Table351213142445[[#This Row],[Vault]]</f>
        <v>17.350000000000001</v>
      </c>
      <c r="AC13" s="283">
        <f t="shared" si="2"/>
        <v>3</v>
      </c>
    </row>
    <row r="14" spans="1:70" ht="16.5" thickBot="1">
      <c r="B14" s="25" t="s">
        <v>10</v>
      </c>
      <c r="C14" s="19">
        <f>SUM(C8:C13)-SMALL(C8:C13,1)-SMALL(C8:C13,2)</f>
        <v>35.649999999999991</v>
      </c>
      <c r="D14" s="19">
        <f>SUM(D8:D13)-SMALL(D8:D13,1)-SMALL(D8:D13,2)</f>
        <v>30.099999999999994</v>
      </c>
      <c r="E14" s="20">
        <f>SUM(C14:D14)</f>
        <v>65.749999999999986</v>
      </c>
      <c r="F14" s="8"/>
      <c r="H14" s="25" t="s">
        <v>10</v>
      </c>
      <c r="I14" s="19">
        <f>SUM(I8:I13)-SMALL(I8:I13,1)-SMALL(I8:I13,2)</f>
        <v>37.25</v>
      </c>
      <c r="J14" s="19">
        <f>SUM(J8:J13)-SMALL(J8:J13,1)-SMALL(J8:J13,2)</f>
        <v>34.25</v>
      </c>
      <c r="K14" s="20">
        <f>SUM(I14:J14)</f>
        <v>71.5</v>
      </c>
      <c r="L14" s="8"/>
      <c r="N14" s="25" t="s">
        <v>10</v>
      </c>
      <c r="O14" s="19">
        <f>SUM(O8:O13)-SMALL(O8:O13,1)-SMALL(O8:O13,2)</f>
        <v>36.25</v>
      </c>
      <c r="P14" s="19">
        <f>SUM(P8:P13)-SMALL(P8:P13,1)-SMALL(P8:P13,2)</f>
        <v>31.05</v>
      </c>
      <c r="Q14" s="20">
        <f>SUM(O14:P14)</f>
        <v>67.3</v>
      </c>
      <c r="U14" s="33" t="s">
        <v>391</v>
      </c>
      <c r="V14" s="149">
        <v>538</v>
      </c>
      <c r="W14" s="93" t="s">
        <v>408</v>
      </c>
      <c r="X14" s="13">
        <f t="shared" ref="X14:X16" si="8">I9</f>
        <v>9.6</v>
      </c>
      <c r="Y14" s="283">
        <f t="shared" si="0"/>
        <v>2</v>
      </c>
      <c r="Z14" s="13">
        <f t="shared" ref="Z14" si="9">J9</f>
        <v>8.8000000000000007</v>
      </c>
      <c r="AA14" s="283">
        <f t="shared" si="1"/>
        <v>1</v>
      </c>
      <c r="AB14" s="315">
        <f>Table351213142445[[#This Row],[Floor]]+Table351213142445[[#This Row],[Vault]]</f>
        <v>18.399999999999999</v>
      </c>
      <c r="AC14" s="283">
        <f t="shared" si="2"/>
        <v>1</v>
      </c>
    </row>
    <row r="15" spans="1:70">
      <c r="B15" s="94" t="s">
        <v>37</v>
      </c>
      <c r="D15" s="25"/>
      <c r="E15" s="26"/>
      <c r="H15" s="94" t="s">
        <v>37</v>
      </c>
      <c r="J15" s="25"/>
      <c r="K15" s="26"/>
      <c r="N15" s="94" t="s">
        <v>37</v>
      </c>
      <c r="P15" s="25"/>
      <c r="Q15" s="26"/>
      <c r="U15" s="33" t="s">
        <v>391</v>
      </c>
      <c r="V15" s="149">
        <v>539</v>
      </c>
      <c r="W15" s="93" t="s">
        <v>440</v>
      </c>
      <c r="X15" s="13">
        <f>I10</f>
        <v>9</v>
      </c>
      <c r="Y15" s="283">
        <f t="shared" si="0"/>
        <v>7</v>
      </c>
      <c r="Z15" s="13">
        <f>J10</f>
        <v>8.35</v>
      </c>
      <c r="AA15" s="283">
        <f t="shared" si="1"/>
        <v>2</v>
      </c>
      <c r="AB15" s="315">
        <f>Table351213142445[[#This Row],[Floor]]+Table351213142445[[#This Row],[Vault]]</f>
        <v>17.350000000000001</v>
      </c>
      <c r="AC15" s="283">
        <f t="shared" si="2"/>
        <v>3</v>
      </c>
    </row>
    <row r="16" spans="1:70">
      <c r="Q16" s="41"/>
      <c r="R16" s="41"/>
      <c r="S16" s="41"/>
      <c r="T16" s="41"/>
      <c r="U16" s="33" t="s">
        <v>391</v>
      </c>
      <c r="V16" s="149">
        <v>540</v>
      </c>
      <c r="W16" s="93" t="s">
        <v>1022</v>
      </c>
      <c r="X16" s="13">
        <f t="shared" si="8"/>
        <v>9.6</v>
      </c>
      <c r="Y16" s="283">
        <f t="shared" si="0"/>
        <v>2</v>
      </c>
      <c r="Z16" s="13">
        <f>J11</f>
        <v>8.8000000000000007</v>
      </c>
      <c r="AA16" s="283">
        <f t="shared" si="1"/>
        <v>1</v>
      </c>
      <c r="AB16" s="315">
        <f>Table351213142445[[#This Row],[Floor]]+Table351213142445[[#This Row],[Vault]]</f>
        <v>18.399999999999999</v>
      </c>
      <c r="AC16" s="283">
        <f t="shared" si="2"/>
        <v>1</v>
      </c>
    </row>
    <row r="17" spans="1:29">
      <c r="A17" s="333" t="s">
        <v>1155</v>
      </c>
      <c r="B17" s="223"/>
      <c r="C17" s="223"/>
      <c r="D17" s="223"/>
      <c r="E17" s="224"/>
      <c r="F17" s="1"/>
      <c r="G17" s="333" t="s">
        <v>1299</v>
      </c>
      <c r="H17" s="220"/>
      <c r="I17" s="220"/>
      <c r="J17" s="220"/>
      <c r="K17" s="221"/>
      <c r="U17" s="33" t="s">
        <v>391</v>
      </c>
      <c r="V17" s="149">
        <v>543</v>
      </c>
      <c r="W17" s="93" t="s">
        <v>441</v>
      </c>
      <c r="X17" s="14">
        <f>O8</f>
        <v>9.0500000000000007</v>
      </c>
      <c r="Y17" s="283">
        <f t="shared" si="0"/>
        <v>6</v>
      </c>
      <c r="Z17" s="14">
        <f>P8</f>
        <v>8.3000000000000007</v>
      </c>
      <c r="AA17" s="283">
        <f t="shared" si="1"/>
        <v>3</v>
      </c>
      <c r="AB17" s="315">
        <f>Table351213142445[[#This Row],[Floor]]+Table351213142445[[#This Row],[Vault]]</f>
        <v>17.350000000000001</v>
      </c>
      <c r="AC17" s="283">
        <f t="shared" si="2"/>
        <v>3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1"/>
      <c r="G18" s="9" t="s">
        <v>1</v>
      </c>
      <c r="H18" s="9" t="s">
        <v>2</v>
      </c>
      <c r="I18" s="9" t="s">
        <v>3</v>
      </c>
      <c r="J18" s="9" t="s">
        <v>4</v>
      </c>
      <c r="K18" s="9" t="s">
        <v>5</v>
      </c>
      <c r="U18" s="33" t="s">
        <v>391</v>
      </c>
      <c r="V18" s="149">
        <v>544</v>
      </c>
      <c r="W18" s="93" t="s">
        <v>442</v>
      </c>
      <c r="X18" s="14">
        <f>O9</f>
        <v>8.9499999999999993</v>
      </c>
      <c r="Y18" s="283">
        <f t="shared" si="0"/>
        <v>8</v>
      </c>
      <c r="Z18" s="14">
        <f t="shared" ref="Z18:Z20" si="10">P9</f>
        <v>8</v>
      </c>
      <c r="AA18" s="283">
        <f t="shared" si="1"/>
        <v>5</v>
      </c>
      <c r="AB18" s="315">
        <f>Table351213142445[[#This Row],[Floor]]+Table351213142445[[#This Row],[Vault]]</f>
        <v>16.95</v>
      </c>
      <c r="AC18" s="283">
        <f t="shared" si="2"/>
        <v>5</v>
      </c>
    </row>
    <row r="19" spans="1:29">
      <c r="A19" s="149">
        <v>549</v>
      </c>
      <c r="B19" s="93" t="s">
        <v>88</v>
      </c>
      <c r="C19" s="13">
        <v>8.5500000000000007</v>
      </c>
      <c r="D19" s="13">
        <v>7.9</v>
      </c>
      <c r="E19" s="13">
        <f>SUM(C19,D19)</f>
        <v>16.450000000000003</v>
      </c>
      <c r="F19" s="1"/>
      <c r="G19" s="149">
        <v>555</v>
      </c>
      <c r="H19" s="100" t="s">
        <v>689</v>
      </c>
      <c r="I19" s="13">
        <v>9.5</v>
      </c>
      <c r="J19" s="13">
        <v>8.1999999999999993</v>
      </c>
      <c r="K19" s="13">
        <f t="shared" ref="K19" si="11">SUM(I19,J19)</f>
        <v>17.7</v>
      </c>
      <c r="N19" s="39" t="s">
        <v>12</v>
      </c>
      <c r="O19" s="43" t="s">
        <v>5</v>
      </c>
      <c r="P19" s="44" t="s">
        <v>11</v>
      </c>
      <c r="U19" s="33" t="s">
        <v>391</v>
      </c>
      <c r="V19" s="149">
        <v>545</v>
      </c>
      <c r="W19" s="93" t="s">
        <v>1023</v>
      </c>
      <c r="X19" s="14">
        <f>O10</f>
        <v>8.4499999999999993</v>
      </c>
      <c r="Y19" s="283">
        <f t="shared" si="0"/>
        <v>12</v>
      </c>
      <c r="Z19" s="14">
        <f>P10</f>
        <v>7.55</v>
      </c>
      <c r="AA19" s="283">
        <f t="shared" si="1"/>
        <v>10</v>
      </c>
      <c r="AB19" s="315">
        <f>Table351213142445[[#This Row],[Floor]]+Table351213142445[[#This Row],[Vault]]</f>
        <v>16</v>
      </c>
      <c r="AC19" s="283">
        <f t="shared" si="2"/>
        <v>16</v>
      </c>
    </row>
    <row r="20" spans="1:29">
      <c r="A20" s="149">
        <v>550</v>
      </c>
      <c r="B20" s="93" t="s">
        <v>1152</v>
      </c>
      <c r="C20" s="13">
        <v>8.9499999999999993</v>
      </c>
      <c r="D20" s="13">
        <v>7.75</v>
      </c>
      <c r="E20" s="13">
        <f t="shared" ref="E20:E24" si="12">SUM(C20,D20)</f>
        <v>16.7</v>
      </c>
      <c r="N20" s="45" t="s">
        <v>1277</v>
      </c>
      <c r="O20" s="47">
        <f>E14</f>
        <v>65.749999999999986</v>
      </c>
      <c r="P20" s="40">
        <f>SUMPRODUCT((O$20:O$23&gt;O20)/COUNTIF(O$20:O$23,O$20:O$23&amp;""))+1</f>
        <v>4</v>
      </c>
      <c r="U20" s="33" t="s">
        <v>391</v>
      </c>
      <c r="V20" s="149">
        <v>546</v>
      </c>
      <c r="W20" s="93" t="s">
        <v>1024</v>
      </c>
      <c r="X20" s="14">
        <f t="shared" ref="X20" si="13">O11</f>
        <v>9.8000000000000007</v>
      </c>
      <c r="Y20" s="283">
        <f t="shared" si="0"/>
        <v>1</v>
      </c>
      <c r="Z20" s="14">
        <f t="shared" si="10"/>
        <v>7.2</v>
      </c>
      <c r="AA20" s="283">
        <f t="shared" si="1"/>
        <v>13.000000000000002</v>
      </c>
      <c r="AB20" s="315">
        <f>Table351213142445[[#This Row],[Floor]]+Table351213142445[[#This Row],[Vault]]</f>
        <v>17</v>
      </c>
      <c r="AC20" s="283">
        <f t="shared" si="2"/>
        <v>4</v>
      </c>
    </row>
    <row r="21" spans="1:29">
      <c r="A21" s="149">
        <v>551</v>
      </c>
      <c r="B21" s="93" t="s">
        <v>175</v>
      </c>
      <c r="C21" s="13">
        <v>9.1</v>
      </c>
      <c r="D21" s="13">
        <v>7.7</v>
      </c>
      <c r="E21" s="13">
        <f t="shared" si="12"/>
        <v>16.8</v>
      </c>
      <c r="N21" s="45" t="s">
        <v>1278</v>
      </c>
      <c r="O21" s="46">
        <f>K14</f>
        <v>71.5</v>
      </c>
      <c r="P21" s="40">
        <f t="shared" ref="P21:P23" si="14">SUMPRODUCT((O$20:O$23&gt;O21)/COUNTIF(O$20:O$23,O$20:O$23&amp;""))+1</f>
        <v>1</v>
      </c>
      <c r="U21" s="33" t="s">
        <v>87</v>
      </c>
      <c r="V21" s="149">
        <v>549</v>
      </c>
      <c r="W21" s="93" t="s">
        <v>88</v>
      </c>
      <c r="X21" s="13">
        <f>C19</f>
        <v>8.5500000000000007</v>
      </c>
      <c r="Y21" s="283">
        <f t="shared" si="0"/>
        <v>10.999999999999998</v>
      </c>
      <c r="Z21" s="13">
        <f>D19</f>
        <v>7.9</v>
      </c>
      <c r="AA21" s="283">
        <f t="shared" si="1"/>
        <v>6</v>
      </c>
      <c r="AB21" s="315">
        <f>Table351213142445[[#This Row],[Floor]]+Table351213142445[[#This Row],[Vault]]</f>
        <v>16.450000000000003</v>
      </c>
      <c r="AC21" s="283">
        <f t="shared" si="2"/>
        <v>12</v>
      </c>
    </row>
    <row r="22" spans="1:29">
      <c r="A22" s="149">
        <v>552</v>
      </c>
      <c r="B22" s="93" t="s">
        <v>77</v>
      </c>
      <c r="C22" s="13">
        <v>8.9499999999999993</v>
      </c>
      <c r="D22" s="13">
        <v>7.7</v>
      </c>
      <c r="E22" s="13">
        <f t="shared" si="12"/>
        <v>16.649999999999999</v>
      </c>
      <c r="N22" s="45" t="s">
        <v>540</v>
      </c>
      <c r="O22" s="47">
        <f>Q14</f>
        <v>67.3</v>
      </c>
      <c r="P22" s="40">
        <f t="shared" si="14"/>
        <v>3</v>
      </c>
      <c r="U22" s="33" t="s">
        <v>87</v>
      </c>
      <c r="V22" s="149">
        <v>550</v>
      </c>
      <c r="W22" s="93" t="s">
        <v>1152</v>
      </c>
      <c r="X22" s="13">
        <f t="shared" ref="X22:X26" si="15">C20</f>
        <v>8.9499999999999993</v>
      </c>
      <c r="Y22" s="283">
        <f t="shared" si="0"/>
        <v>8</v>
      </c>
      <c r="Z22" s="13">
        <f t="shared" ref="Z22:Z23" si="16">D20</f>
        <v>7.75</v>
      </c>
      <c r="AA22" s="283">
        <f t="shared" si="1"/>
        <v>8</v>
      </c>
      <c r="AB22" s="315">
        <f>Table351213142445[[#This Row],[Floor]]+Table351213142445[[#This Row],[Vault]]</f>
        <v>16.7</v>
      </c>
      <c r="AC22" s="283">
        <f t="shared" si="2"/>
        <v>8</v>
      </c>
    </row>
    <row r="23" spans="1:29">
      <c r="A23" s="149">
        <v>553</v>
      </c>
      <c r="B23" s="93" t="s">
        <v>1153</v>
      </c>
      <c r="C23" s="13">
        <v>9.0500000000000007</v>
      </c>
      <c r="D23" s="13">
        <v>7.8</v>
      </c>
      <c r="E23" s="13">
        <f t="shared" si="12"/>
        <v>16.850000000000001</v>
      </c>
      <c r="N23" s="45" t="s">
        <v>1155</v>
      </c>
      <c r="O23" s="46">
        <f>E25</f>
        <v>67.55</v>
      </c>
      <c r="P23" s="40">
        <f t="shared" si="14"/>
        <v>2</v>
      </c>
      <c r="U23" s="33" t="s">
        <v>87</v>
      </c>
      <c r="V23" s="149">
        <v>551</v>
      </c>
      <c r="W23" s="93" t="s">
        <v>175</v>
      </c>
      <c r="X23" s="13">
        <f t="shared" si="15"/>
        <v>9.1</v>
      </c>
      <c r="Y23" s="283">
        <f t="shared" si="0"/>
        <v>5</v>
      </c>
      <c r="Z23" s="13">
        <f t="shared" si="16"/>
        <v>7.7</v>
      </c>
      <c r="AA23" s="283">
        <f t="shared" si="1"/>
        <v>9</v>
      </c>
      <c r="AB23" s="315">
        <f>Table351213142445[[#This Row],[Floor]]+Table351213142445[[#This Row],[Vault]]</f>
        <v>16.8</v>
      </c>
      <c r="AC23" s="283">
        <f t="shared" si="2"/>
        <v>7</v>
      </c>
    </row>
    <row r="24" spans="1:29" ht="16.5" thickBot="1">
      <c r="A24" s="149">
        <v>554</v>
      </c>
      <c r="B24" s="93" t="s">
        <v>1154</v>
      </c>
      <c r="C24" s="13">
        <v>9.25</v>
      </c>
      <c r="D24" s="13">
        <v>7.75</v>
      </c>
      <c r="E24" s="13">
        <f t="shared" si="12"/>
        <v>17</v>
      </c>
      <c r="U24" s="33" t="s">
        <v>87</v>
      </c>
      <c r="V24" s="149">
        <v>552</v>
      </c>
      <c r="W24" s="93" t="s">
        <v>77</v>
      </c>
      <c r="X24" s="13">
        <f t="shared" si="15"/>
        <v>8.9499999999999993</v>
      </c>
      <c r="Y24" s="283">
        <f t="shared" si="0"/>
        <v>8</v>
      </c>
      <c r="Z24" s="13">
        <f>D22</f>
        <v>7.7</v>
      </c>
      <c r="AA24" s="283">
        <f t="shared" si="1"/>
        <v>9</v>
      </c>
      <c r="AB24" s="315">
        <f>Table351213142445[[#This Row],[Floor]]+Table351213142445[[#This Row],[Vault]]</f>
        <v>16.649999999999999</v>
      </c>
      <c r="AC24" s="283">
        <f t="shared" si="2"/>
        <v>9</v>
      </c>
    </row>
    <row r="25" spans="1:29" ht="16.5" thickBot="1">
      <c r="B25" s="25" t="s">
        <v>10</v>
      </c>
      <c r="C25" s="19">
        <f>SUM(C19:C24)-SMALL(C19:C24,1)-SMALL(C19:C24,2)</f>
        <v>36.349999999999994</v>
      </c>
      <c r="D25" s="19">
        <f>SUM(D19:D24)-SMALL(D19:D24,1)-SMALL(D19:D24,2)</f>
        <v>31.2</v>
      </c>
      <c r="E25" s="20">
        <f>SUM(C25:D25)</f>
        <v>67.55</v>
      </c>
      <c r="U25" s="33" t="s">
        <v>87</v>
      </c>
      <c r="V25" s="149">
        <v>553</v>
      </c>
      <c r="W25" s="93" t="s">
        <v>1153</v>
      </c>
      <c r="X25" s="13">
        <f>C23</f>
        <v>9.0500000000000007</v>
      </c>
      <c r="Y25" s="283">
        <f t="shared" si="0"/>
        <v>6</v>
      </c>
      <c r="Z25" s="13">
        <f>D23</f>
        <v>7.8</v>
      </c>
      <c r="AA25" s="283">
        <f t="shared" si="1"/>
        <v>7</v>
      </c>
      <c r="AB25" s="315">
        <f>Table351213142445[[#This Row],[Floor]]+Table351213142445[[#This Row],[Vault]]</f>
        <v>16.850000000000001</v>
      </c>
      <c r="AC25" s="283">
        <f t="shared" si="2"/>
        <v>6</v>
      </c>
    </row>
    <row r="26" spans="1:29">
      <c r="B26" s="94" t="s">
        <v>37</v>
      </c>
      <c r="D26" s="25"/>
      <c r="E26" s="26"/>
      <c r="U26" s="33" t="s">
        <v>87</v>
      </c>
      <c r="V26" s="149">
        <v>554</v>
      </c>
      <c r="W26" s="93" t="s">
        <v>1154</v>
      </c>
      <c r="X26" s="13">
        <f t="shared" si="15"/>
        <v>9.25</v>
      </c>
      <c r="Y26" s="283">
        <f t="shared" si="0"/>
        <v>4</v>
      </c>
      <c r="Z26" s="13">
        <f>D24</f>
        <v>7.75</v>
      </c>
      <c r="AA26" s="283">
        <f t="shared" si="1"/>
        <v>8</v>
      </c>
      <c r="AB26" s="315">
        <f>Table351213142445[[#This Row],[Floor]]+Table351213142445[[#This Row],[Vault]]</f>
        <v>17</v>
      </c>
      <c r="AC26" s="283">
        <f t="shared" si="2"/>
        <v>4</v>
      </c>
    </row>
    <row r="27" spans="1:29">
      <c r="U27" s="287" t="s">
        <v>1049</v>
      </c>
      <c r="V27" s="288">
        <v>720</v>
      </c>
      <c r="W27" s="345" t="s">
        <v>1056</v>
      </c>
      <c r="X27" s="295">
        <f>'INT 11&amp;U MX'!D8</f>
        <v>9.0500000000000007</v>
      </c>
      <c r="Y27" s="283">
        <f t="shared" si="0"/>
        <v>6</v>
      </c>
      <c r="Z27" s="295">
        <f>'INT 11&amp;U MX'!E8</f>
        <v>7.75</v>
      </c>
      <c r="AA27" s="283">
        <f t="shared" si="1"/>
        <v>8</v>
      </c>
      <c r="AB27" s="317">
        <f>Table351213142445[[#This Row],[Floor]]+Table351213142445[[#This Row],[Vault]]</f>
        <v>16.8</v>
      </c>
      <c r="AC27" s="283">
        <f t="shared" si="2"/>
        <v>7</v>
      </c>
    </row>
    <row r="28" spans="1:29">
      <c r="U28" s="287" t="s">
        <v>1049</v>
      </c>
      <c r="V28" s="291">
        <v>721</v>
      </c>
      <c r="W28" s="346" t="s">
        <v>1057</v>
      </c>
      <c r="X28" s="295">
        <f>'INT 11&amp;U MX'!D9</f>
        <v>8.25</v>
      </c>
      <c r="Y28" s="283">
        <f t="shared" si="0"/>
        <v>13</v>
      </c>
      <c r="Z28" s="295">
        <f>'INT 11&amp;U MX'!E9</f>
        <v>7.1</v>
      </c>
      <c r="AA28" s="283">
        <f t="shared" si="1"/>
        <v>14.000000000000002</v>
      </c>
      <c r="AB28" s="317">
        <f>Table351213142445[[#This Row],[Floor]]+Table351213142445[[#This Row],[Vault]]</f>
        <v>15.35</v>
      </c>
      <c r="AC28" s="283">
        <f t="shared" si="2"/>
        <v>17</v>
      </c>
    </row>
  </sheetData>
  <mergeCells count="3">
    <mergeCell ref="A1:AC1"/>
    <mergeCell ref="A2:AC2"/>
    <mergeCell ref="G4:I4"/>
  </mergeCells>
  <phoneticPr fontId="21" type="noConversion"/>
  <conditionalFormatting sqref="P20:P23">
    <cfRule type="cellIs" dxfId="780" priority="13" operator="equal">
      <formula>3</formula>
    </cfRule>
    <cfRule type="cellIs" dxfId="779" priority="14" operator="equal">
      <formula>2</formula>
    </cfRule>
    <cfRule type="cellIs" dxfId="778" priority="15" operator="equal">
      <formula>1</formula>
    </cfRule>
  </conditionalFormatting>
  <conditionalFormatting sqref="Y7:Y28">
    <cfRule type="cellIs" dxfId="777" priority="7" operator="equal">
      <formula>3</formula>
    </cfRule>
    <cfRule type="cellIs" dxfId="776" priority="8" operator="equal">
      <formula>2</formula>
    </cfRule>
    <cfRule type="cellIs" dxfId="775" priority="9" operator="equal">
      <formula>1</formula>
    </cfRule>
  </conditionalFormatting>
  <conditionalFormatting sqref="AA7:AA28">
    <cfRule type="cellIs" dxfId="774" priority="4" operator="equal">
      <formula>3</formula>
    </cfRule>
    <cfRule type="cellIs" dxfId="773" priority="5" operator="equal">
      <formula>2</formula>
    </cfRule>
    <cfRule type="cellIs" dxfId="772" priority="6" operator="equal">
      <formula>1</formula>
    </cfRule>
  </conditionalFormatting>
  <conditionalFormatting sqref="AC7:AC28">
    <cfRule type="cellIs" dxfId="771" priority="1" operator="equal">
      <formula>3</formula>
    </cfRule>
    <cfRule type="cellIs" dxfId="770" priority="2" operator="equal">
      <formula>2</formula>
    </cfRule>
    <cfRule type="cellIs" dxfId="769" priority="3" operator="equal">
      <formula>1</formula>
    </cfRule>
  </conditionalFormatting>
  <pageMargins left="0.75" right="0.75" top="1" bottom="1" header="0.5" footer="0.5"/>
  <pageSetup paperSize="9" scale="53" orientation="landscape" horizontalDpi="4294967292" verticalDpi="4294967292"/>
  <colBreaks count="1" manualBreakCount="1">
    <brk id="29" max="1048575" man="1"/>
  </colBreaks>
  <ignoredErrors>
    <ignoredError sqref="Z7:Z28" formula="1"/>
  </ignoredErrors>
  <tableParts count="2"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J139"/>
  <sheetViews>
    <sheetView zoomScale="80" zoomScaleNormal="80" zoomScalePageLayoutView="80" workbookViewId="0">
      <selection activeCell="X3" sqref="X3"/>
    </sheetView>
  </sheetViews>
  <sheetFormatPr defaultColWidth="8.875" defaultRowHeight="15.75"/>
  <cols>
    <col min="1" max="1" width="4.87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8" customWidth="1"/>
    <col min="22" max="22" width="7" customWidth="1"/>
    <col min="23" max="23" width="27.5" bestFit="1" customWidth="1"/>
    <col min="24" max="24" width="9.625" customWidth="1"/>
    <col min="25" max="25" width="5" style="53" customWidth="1"/>
    <col min="26" max="26" width="10.375" customWidth="1"/>
    <col min="27" max="27" width="4.5" style="57" customWidth="1"/>
    <col min="28" max="28" width="9.375" style="39" customWidth="1"/>
    <col min="29" max="29" width="5.5" style="60" customWidth="1"/>
  </cols>
  <sheetData>
    <row r="1" spans="1:6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"/>
      <c r="BJ2" s="2"/>
    </row>
    <row r="3" spans="1:62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">
      <c r="A4" s="375"/>
      <c r="E4" s="1"/>
      <c r="F4" s="1"/>
      <c r="G4" s="464" t="s">
        <v>119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6" spans="1:62" s="8" customFormat="1">
      <c r="A6" s="348" t="s">
        <v>578</v>
      </c>
      <c r="B6" s="349"/>
      <c r="C6" s="349"/>
      <c r="D6" s="349"/>
      <c r="E6" s="350"/>
      <c r="G6" s="348" t="s">
        <v>229</v>
      </c>
      <c r="H6" s="349"/>
      <c r="I6" s="350"/>
      <c r="J6" s="348"/>
      <c r="K6" s="350"/>
      <c r="M6" s="348" t="s">
        <v>625</v>
      </c>
      <c r="N6" s="349"/>
      <c r="O6" s="349"/>
      <c r="P6" s="349"/>
      <c r="Q6" s="350"/>
      <c r="U6" s="176" t="s">
        <v>23</v>
      </c>
      <c r="V6" s="17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177" t="s">
        <v>30</v>
      </c>
    </row>
    <row r="7" spans="1:62">
      <c r="A7" s="356" t="s">
        <v>1</v>
      </c>
      <c r="B7" s="356" t="s">
        <v>2</v>
      </c>
      <c r="C7" s="356" t="s">
        <v>3</v>
      </c>
      <c r="D7" s="356" t="s">
        <v>4</v>
      </c>
      <c r="E7" s="356" t="s">
        <v>5</v>
      </c>
      <c r="F7" s="8"/>
      <c r="G7" s="356" t="s">
        <v>1</v>
      </c>
      <c r="H7" s="356" t="s">
        <v>2</v>
      </c>
      <c r="I7" s="356" t="s">
        <v>3</v>
      </c>
      <c r="J7" s="356" t="s">
        <v>4</v>
      </c>
      <c r="K7" s="356" t="s">
        <v>5</v>
      </c>
      <c r="L7" s="8"/>
      <c r="M7" s="354" t="s">
        <v>1</v>
      </c>
      <c r="N7" s="354" t="s">
        <v>2</v>
      </c>
      <c r="O7" s="354" t="s">
        <v>3</v>
      </c>
      <c r="P7" s="354" t="s">
        <v>4</v>
      </c>
      <c r="Q7" s="354" t="s">
        <v>5</v>
      </c>
      <c r="U7" s="33" t="s">
        <v>583</v>
      </c>
      <c r="V7" s="150">
        <v>556</v>
      </c>
      <c r="W7" s="93" t="s">
        <v>461</v>
      </c>
      <c r="X7" s="14">
        <f>C8</f>
        <v>8.65</v>
      </c>
      <c r="Y7" s="283">
        <f t="shared" ref="Y7:Y38" si="0">SUMPRODUCT((X$7:X$139&gt;X7)/COUNTIF(X$7:X$139,X$7:X$139&amp;""))+1</f>
        <v>23.999999999999993</v>
      </c>
      <c r="Z7" s="14">
        <f>D8</f>
        <v>7.7</v>
      </c>
      <c r="AA7" s="283">
        <f t="shared" ref="AA7:AA38" si="1">SUMPRODUCT((Z$7:Z$139&gt;Z7)/COUNTIF(Z$7:Z$139,Z$7:Z$139&amp;""))+1</f>
        <v>17.999999999999993</v>
      </c>
      <c r="AB7" s="69">
        <f>Table35155053537[[#This Row],[Floor4]]+Table35155053537[[#This Row],[Vault6]]</f>
        <v>16.350000000000001</v>
      </c>
      <c r="AC7" s="283">
        <f t="shared" ref="AC7:AC38" si="2">SUMPRODUCT((AB$7:AB$139&gt;AB7)/COUNTIF(AB$7:AB$139,AB$7:AB$139&amp;""))+1</f>
        <v>32.999999999999993</v>
      </c>
    </row>
    <row r="8" spans="1:62">
      <c r="A8" s="150">
        <v>556</v>
      </c>
      <c r="B8" s="95" t="s">
        <v>461</v>
      </c>
      <c r="C8" s="14">
        <v>8.65</v>
      </c>
      <c r="D8" s="14">
        <v>7.7</v>
      </c>
      <c r="E8" s="14">
        <f>SUM(C8,D8)</f>
        <v>16.350000000000001</v>
      </c>
      <c r="F8" s="8"/>
      <c r="G8" s="150">
        <v>562</v>
      </c>
      <c r="H8" s="95" t="s">
        <v>613</v>
      </c>
      <c r="I8" s="14">
        <v>8.65</v>
      </c>
      <c r="J8" s="14">
        <v>7.25</v>
      </c>
      <c r="K8" s="14">
        <f>SUM(I8,J8)</f>
        <v>15.9</v>
      </c>
      <c r="L8" s="8"/>
      <c r="M8" s="150">
        <v>568</v>
      </c>
      <c r="N8" s="95" t="s">
        <v>642</v>
      </c>
      <c r="O8" s="14">
        <v>8.65</v>
      </c>
      <c r="P8" s="14">
        <v>7.6</v>
      </c>
      <c r="Q8" s="14">
        <f>SUM(O8,P8)</f>
        <v>16.25</v>
      </c>
      <c r="U8" s="400" t="s">
        <v>583</v>
      </c>
      <c r="V8" s="408">
        <v>557</v>
      </c>
      <c r="W8" s="397" t="s">
        <v>590</v>
      </c>
      <c r="X8" s="401">
        <f t="shared" ref="X8:X12" si="3">C9</f>
        <v>0</v>
      </c>
      <c r="Y8" s="402">
        <f t="shared" si="0"/>
        <v>40.000000000000028</v>
      </c>
      <c r="Z8" s="401">
        <f t="shared" ref="Z8:Z12" si="4">D9</f>
        <v>0</v>
      </c>
      <c r="AA8" s="402">
        <f t="shared" si="1"/>
        <v>33.999999999999993</v>
      </c>
      <c r="AB8" s="403">
        <f>Table35155053537[[#This Row],[Floor4]]+Table35155053537[[#This Row],[Vault6]]</f>
        <v>0</v>
      </c>
      <c r="AC8" s="402">
        <f t="shared" si="2"/>
        <v>53.000000000000007</v>
      </c>
    </row>
    <row r="9" spans="1:62">
      <c r="A9" s="408">
        <v>557</v>
      </c>
      <c r="B9" s="410" t="s">
        <v>590</v>
      </c>
      <c r="C9" s="401">
        <v>0</v>
      </c>
      <c r="D9" s="401">
        <v>0</v>
      </c>
      <c r="E9" s="401">
        <f t="shared" ref="E9:E13" si="5">SUM(C9,D9)</f>
        <v>0</v>
      </c>
      <c r="F9" s="8"/>
      <c r="G9" s="150">
        <v>563</v>
      </c>
      <c r="H9" s="95" t="s">
        <v>140</v>
      </c>
      <c r="I9" s="14">
        <v>8.5</v>
      </c>
      <c r="J9" s="14">
        <v>7.1</v>
      </c>
      <c r="K9" s="14">
        <f t="shared" ref="K9:K13" si="6">SUM(I9,J9)</f>
        <v>15.6</v>
      </c>
      <c r="L9" s="8"/>
      <c r="M9" s="150">
        <v>569</v>
      </c>
      <c r="N9" s="95" t="s">
        <v>643</v>
      </c>
      <c r="O9" s="14">
        <v>9.25</v>
      </c>
      <c r="P9" s="14">
        <v>7.55</v>
      </c>
      <c r="Q9" s="14">
        <f t="shared" ref="Q9:Q13" si="7">SUM(O9,P9)</f>
        <v>16.8</v>
      </c>
      <c r="U9" s="400" t="s">
        <v>583</v>
      </c>
      <c r="V9" s="408">
        <v>558</v>
      </c>
      <c r="W9" s="397" t="s">
        <v>591</v>
      </c>
      <c r="X9" s="401">
        <f t="shared" si="3"/>
        <v>0</v>
      </c>
      <c r="Y9" s="402">
        <f t="shared" si="0"/>
        <v>40.000000000000028</v>
      </c>
      <c r="Z9" s="401">
        <f t="shared" si="4"/>
        <v>0</v>
      </c>
      <c r="AA9" s="402">
        <f t="shared" si="1"/>
        <v>33.999999999999993</v>
      </c>
      <c r="AB9" s="403">
        <f>Table35155053537[[#This Row],[Floor4]]+Table35155053537[[#This Row],[Vault6]]</f>
        <v>0</v>
      </c>
      <c r="AC9" s="402">
        <f t="shared" si="2"/>
        <v>53.000000000000007</v>
      </c>
    </row>
    <row r="10" spans="1:62">
      <c r="A10" s="408">
        <v>558</v>
      </c>
      <c r="B10" s="410" t="s">
        <v>591</v>
      </c>
      <c r="C10" s="401">
        <v>0</v>
      </c>
      <c r="D10" s="401">
        <v>0</v>
      </c>
      <c r="E10" s="401">
        <f t="shared" si="5"/>
        <v>0</v>
      </c>
      <c r="F10" s="8"/>
      <c r="G10" s="150">
        <v>564</v>
      </c>
      <c r="H10" s="95" t="s">
        <v>614</v>
      </c>
      <c r="I10" s="14">
        <v>9.15</v>
      </c>
      <c r="J10" s="14">
        <v>8.1999999999999993</v>
      </c>
      <c r="K10" s="14">
        <f t="shared" si="6"/>
        <v>17.350000000000001</v>
      </c>
      <c r="L10" s="8"/>
      <c r="M10" s="150">
        <v>570</v>
      </c>
      <c r="N10" s="95" t="s">
        <v>644</v>
      </c>
      <c r="O10" s="14">
        <v>8.9</v>
      </c>
      <c r="P10" s="14">
        <v>8.1999999999999993</v>
      </c>
      <c r="Q10" s="14">
        <f t="shared" si="7"/>
        <v>17.100000000000001</v>
      </c>
      <c r="U10" s="33" t="s">
        <v>583</v>
      </c>
      <c r="V10" s="150">
        <v>559</v>
      </c>
      <c r="W10" s="93" t="s">
        <v>1337</v>
      </c>
      <c r="X10" s="14">
        <f t="shared" si="3"/>
        <v>8.35</v>
      </c>
      <c r="Y10" s="283">
        <f t="shared" si="0"/>
        <v>29.999999999999986</v>
      </c>
      <c r="Z10" s="14">
        <f t="shared" si="4"/>
        <v>7.55</v>
      </c>
      <c r="AA10" s="283">
        <f t="shared" si="1"/>
        <v>20.999999999999989</v>
      </c>
      <c r="AB10" s="69">
        <f>Table35155053537[[#This Row],[Floor4]]+Table35155053537[[#This Row],[Vault6]]</f>
        <v>15.899999999999999</v>
      </c>
      <c r="AC10" s="283">
        <f t="shared" si="2"/>
        <v>39</v>
      </c>
    </row>
    <row r="11" spans="1:62">
      <c r="A11" s="150">
        <v>559</v>
      </c>
      <c r="B11" s="95" t="s">
        <v>1337</v>
      </c>
      <c r="C11" s="14">
        <v>8.35</v>
      </c>
      <c r="D11" s="14">
        <v>7.55</v>
      </c>
      <c r="E11" s="14">
        <f t="shared" si="5"/>
        <v>15.899999999999999</v>
      </c>
      <c r="F11" s="8"/>
      <c r="G11" s="150">
        <v>565</v>
      </c>
      <c r="H11" s="95" t="s">
        <v>138</v>
      </c>
      <c r="I11" s="14">
        <v>9.1999999999999993</v>
      </c>
      <c r="J11" s="14">
        <v>7.9</v>
      </c>
      <c r="K11" s="14">
        <f t="shared" si="6"/>
        <v>17.100000000000001</v>
      </c>
      <c r="L11" s="8"/>
      <c r="M11" s="150">
        <v>571</v>
      </c>
      <c r="N11" s="95" t="s">
        <v>645</v>
      </c>
      <c r="O11" s="14">
        <v>9.3000000000000007</v>
      </c>
      <c r="P11" s="14">
        <v>7.9</v>
      </c>
      <c r="Q11" s="14">
        <f t="shared" si="7"/>
        <v>17.200000000000003</v>
      </c>
      <c r="U11" s="33" t="s">
        <v>583</v>
      </c>
      <c r="V11" s="150">
        <v>560</v>
      </c>
      <c r="W11" s="100" t="s">
        <v>592</v>
      </c>
      <c r="X11" s="14">
        <f>C12</f>
        <v>9.25</v>
      </c>
      <c r="Y11" s="283">
        <f t="shared" si="0"/>
        <v>12</v>
      </c>
      <c r="Z11" s="14">
        <f>D12</f>
        <v>7.5</v>
      </c>
      <c r="AA11" s="283">
        <f t="shared" si="1"/>
        <v>21.999999999999993</v>
      </c>
      <c r="AB11" s="69">
        <f>Table35155053537[[#This Row],[Floor4]]+Table35155053537[[#This Row],[Vault6]]</f>
        <v>16.75</v>
      </c>
      <c r="AC11" s="283">
        <f t="shared" si="2"/>
        <v>23.999999999999996</v>
      </c>
    </row>
    <row r="12" spans="1:62">
      <c r="A12" s="150">
        <v>560</v>
      </c>
      <c r="B12" s="108" t="s">
        <v>592</v>
      </c>
      <c r="C12" s="14">
        <v>9.25</v>
      </c>
      <c r="D12" s="14">
        <v>7.5</v>
      </c>
      <c r="E12" s="14">
        <f t="shared" si="5"/>
        <v>16.75</v>
      </c>
      <c r="F12" s="8"/>
      <c r="G12" s="150">
        <v>566</v>
      </c>
      <c r="H12" s="95" t="s">
        <v>615</v>
      </c>
      <c r="I12" s="14">
        <v>8.85</v>
      </c>
      <c r="J12" s="14">
        <v>7.7</v>
      </c>
      <c r="K12" s="14">
        <f t="shared" si="6"/>
        <v>16.55</v>
      </c>
      <c r="L12" s="8"/>
      <c r="M12" s="150">
        <v>572</v>
      </c>
      <c r="N12" s="359"/>
      <c r="O12" s="14">
        <v>0</v>
      </c>
      <c r="P12" s="14">
        <v>0</v>
      </c>
      <c r="Q12" s="14">
        <f t="shared" si="7"/>
        <v>0</v>
      </c>
      <c r="U12" s="33" t="s">
        <v>583</v>
      </c>
      <c r="V12" s="150">
        <v>561</v>
      </c>
      <c r="W12" s="93" t="s">
        <v>593</v>
      </c>
      <c r="X12" s="14">
        <f t="shared" si="3"/>
        <v>9.4499999999999993</v>
      </c>
      <c r="Y12" s="283">
        <f t="shared" si="0"/>
        <v>7.9999999999999991</v>
      </c>
      <c r="Z12" s="14">
        <f t="shared" si="4"/>
        <v>7.5</v>
      </c>
      <c r="AA12" s="283">
        <f t="shared" si="1"/>
        <v>21.999999999999993</v>
      </c>
      <c r="AB12" s="69">
        <f>Table35155053537[[#This Row],[Floor4]]+Table35155053537[[#This Row],[Vault6]]</f>
        <v>16.95</v>
      </c>
      <c r="AC12" s="283">
        <f t="shared" si="2"/>
        <v>21</v>
      </c>
    </row>
    <row r="13" spans="1:62" ht="16.5" thickBot="1">
      <c r="A13" s="150">
        <v>561</v>
      </c>
      <c r="B13" s="95" t="s">
        <v>593</v>
      </c>
      <c r="C13" s="14">
        <v>9.4499999999999993</v>
      </c>
      <c r="D13" s="14">
        <v>7.5</v>
      </c>
      <c r="E13" s="14">
        <f t="shared" si="5"/>
        <v>16.95</v>
      </c>
      <c r="F13" s="8"/>
      <c r="G13" s="150">
        <v>567</v>
      </c>
      <c r="H13" s="376" t="s">
        <v>616</v>
      </c>
      <c r="I13" s="14">
        <v>8.6</v>
      </c>
      <c r="J13" s="14">
        <v>6.7</v>
      </c>
      <c r="K13" s="14">
        <f t="shared" si="6"/>
        <v>15.3</v>
      </c>
      <c r="L13" s="8"/>
      <c r="M13" s="150">
        <v>573</v>
      </c>
      <c r="N13" s="359"/>
      <c r="O13" s="14">
        <v>0</v>
      </c>
      <c r="P13" s="14">
        <v>0</v>
      </c>
      <c r="Q13" s="14">
        <f t="shared" si="7"/>
        <v>0</v>
      </c>
      <c r="U13" s="33" t="s">
        <v>215</v>
      </c>
      <c r="V13" s="150">
        <v>562</v>
      </c>
      <c r="W13" s="93" t="s">
        <v>613</v>
      </c>
      <c r="X13" s="14">
        <f>I8</f>
        <v>8.65</v>
      </c>
      <c r="Y13" s="283">
        <f t="shared" si="0"/>
        <v>23.999999999999993</v>
      </c>
      <c r="Z13" s="14">
        <f>J8</f>
        <v>7.25</v>
      </c>
      <c r="AA13" s="283">
        <f t="shared" si="1"/>
        <v>26.999999999999989</v>
      </c>
      <c r="AB13" s="69">
        <f>Table35155053537[[#This Row],[Floor4]]+Table35155053537[[#This Row],[Vault6]]</f>
        <v>15.9</v>
      </c>
      <c r="AC13" s="283">
        <f t="shared" si="2"/>
        <v>39</v>
      </c>
    </row>
    <row r="14" spans="1:62" ht="16.5" thickBot="1">
      <c r="A14" s="8"/>
      <c r="B14" s="18" t="s">
        <v>10</v>
      </c>
      <c r="C14" s="19">
        <f>SUM(C8:C13)-SMALL(C8:C13,1)-SMALL(C8:C13,2)</f>
        <v>35.700000000000003</v>
      </c>
      <c r="D14" s="19">
        <f>SUM(D8:D13)-SMALL(D8:D13,1)-SMALL(D8:D13,2)</f>
        <v>30.25</v>
      </c>
      <c r="E14" s="20">
        <f>SUM(C14:D14)</f>
        <v>65.95</v>
      </c>
      <c r="F14" s="8"/>
      <c r="G14" s="165"/>
      <c r="H14" s="18" t="s">
        <v>10</v>
      </c>
      <c r="I14" s="19">
        <f>SUM(I8:I13)-SMALL(I8:I13,1)-SMALL(I8:I13,2)</f>
        <v>35.85</v>
      </c>
      <c r="J14" s="19">
        <f>SUM(J8:J13)-SMALL(J8:J13,1)-SMALL(J8:J13,2)</f>
        <v>31.049999999999997</v>
      </c>
      <c r="K14" s="20">
        <f>SUM(I14:J14)</f>
        <v>66.900000000000006</v>
      </c>
      <c r="L14" s="8"/>
      <c r="M14" s="8"/>
      <c r="N14" s="18" t="s">
        <v>10</v>
      </c>
      <c r="O14" s="19">
        <f>SUM(O8:O13)-SMALL(O8:O13,1)-SMALL(O8:O13,2)</f>
        <v>36.099999999999994</v>
      </c>
      <c r="P14" s="19">
        <f>SUM(P8:P13)-SMALL(P8:P13,1)-SMALL(P8:P13,2)</f>
        <v>31.25</v>
      </c>
      <c r="Q14" s="20">
        <f>SUM(O14:P14)</f>
        <v>67.349999999999994</v>
      </c>
      <c r="U14" s="33" t="s">
        <v>215</v>
      </c>
      <c r="V14" s="150">
        <v>563</v>
      </c>
      <c r="W14" s="93" t="s">
        <v>140</v>
      </c>
      <c r="X14" s="14">
        <f t="shared" ref="X14:X17" si="8">I9</f>
        <v>8.5</v>
      </c>
      <c r="Y14" s="283">
        <f t="shared" si="0"/>
        <v>26.999999999999993</v>
      </c>
      <c r="Z14" s="14">
        <f t="shared" ref="Z14:Z17" si="9">J9</f>
        <v>7.1</v>
      </c>
      <c r="AA14" s="283">
        <f t="shared" si="1"/>
        <v>28.999999999999989</v>
      </c>
      <c r="AB14" s="69">
        <f>Table35155053537[[#This Row],[Floor4]]+Table35155053537[[#This Row],[Vault6]]</f>
        <v>15.6</v>
      </c>
      <c r="AC14" s="283">
        <f t="shared" si="2"/>
        <v>43</v>
      </c>
    </row>
    <row r="15" spans="1:62">
      <c r="A15" s="8"/>
      <c r="B15" s="360" t="s">
        <v>37</v>
      </c>
      <c r="C15" s="8"/>
      <c r="D15" s="18"/>
      <c r="E15" s="22"/>
      <c r="F15" s="8"/>
      <c r="G15" s="8"/>
      <c r="H15" s="360" t="s">
        <v>37</v>
      </c>
      <c r="I15" s="8"/>
      <c r="J15" s="18"/>
      <c r="K15" s="22"/>
      <c r="L15" s="8"/>
      <c r="M15" s="8"/>
      <c r="N15" s="360" t="s">
        <v>37</v>
      </c>
      <c r="O15" s="8"/>
      <c r="P15" s="18"/>
      <c r="Q15" s="22"/>
      <c r="U15" s="33" t="s">
        <v>215</v>
      </c>
      <c r="V15" s="150">
        <v>564</v>
      </c>
      <c r="W15" s="93" t="s">
        <v>614</v>
      </c>
      <c r="X15" s="14">
        <f t="shared" si="8"/>
        <v>9.15</v>
      </c>
      <c r="Y15" s="283">
        <f t="shared" si="0"/>
        <v>13.999999999999998</v>
      </c>
      <c r="Z15" s="14">
        <f t="shared" si="9"/>
        <v>8.1999999999999993</v>
      </c>
      <c r="AA15" s="283">
        <f t="shared" si="1"/>
        <v>7.0000000000000009</v>
      </c>
      <c r="AB15" s="69">
        <f>Table35155053537[[#This Row],[Floor4]]+Table35155053537[[#This Row],[Vault6]]</f>
        <v>17.350000000000001</v>
      </c>
      <c r="AC15" s="283">
        <f t="shared" si="2"/>
        <v>14</v>
      </c>
    </row>
    <row r="16" spans="1:6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U16" s="33" t="s">
        <v>215</v>
      </c>
      <c r="V16" s="150">
        <v>565</v>
      </c>
      <c r="W16" s="93" t="s">
        <v>138</v>
      </c>
      <c r="X16" s="14">
        <f>I11</f>
        <v>9.1999999999999993</v>
      </c>
      <c r="Y16" s="283">
        <f t="shared" si="0"/>
        <v>13</v>
      </c>
      <c r="Z16" s="14">
        <f>J11</f>
        <v>7.9</v>
      </c>
      <c r="AA16" s="283">
        <f t="shared" si="1"/>
        <v>12.999999999999993</v>
      </c>
      <c r="AB16" s="69">
        <f>Table35155053537[[#This Row],[Floor4]]+Table35155053537[[#This Row],[Vault6]]</f>
        <v>17.100000000000001</v>
      </c>
      <c r="AC16" s="283">
        <f t="shared" si="2"/>
        <v>17.999999999999996</v>
      </c>
    </row>
    <row r="17" spans="1:29">
      <c r="A17" s="348" t="s">
        <v>690</v>
      </c>
      <c r="B17" s="349"/>
      <c r="C17" s="349"/>
      <c r="D17" s="349"/>
      <c r="E17" s="350"/>
      <c r="F17" s="8"/>
      <c r="G17" s="348" t="s">
        <v>691</v>
      </c>
      <c r="H17" s="349"/>
      <c r="I17" s="349"/>
      <c r="J17" s="349"/>
      <c r="K17" s="350"/>
      <c r="L17" s="8"/>
      <c r="M17" s="348" t="s">
        <v>732</v>
      </c>
      <c r="N17" s="349"/>
      <c r="O17" s="349"/>
      <c r="P17" s="349"/>
      <c r="Q17" s="350"/>
      <c r="U17" s="33" t="s">
        <v>215</v>
      </c>
      <c r="V17" s="150">
        <v>566</v>
      </c>
      <c r="W17" s="93" t="s">
        <v>615</v>
      </c>
      <c r="X17" s="14">
        <f t="shared" si="8"/>
        <v>8.85</v>
      </c>
      <c r="Y17" s="283">
        <f t="shared" si="0"/>
        <v>20.999999999999996</v>
      </c>
      <c r="Z17" s="14">
        <f t="shared" si="9"/>
        <v>7.7</v>
      </c>
      <c r="AA17" s="283">
        <f t="shared" si="1"/>
        <v>17.999999999999993</v>
      </c>
      <c r="AB17" s="69">
        <f>Table35155053537[[#This Row],[Floor4]]+Table35155053537[[#This Row],[Vault6]]</f>
        <v>16.55</v>
      </c>
      <c r="AC17" s="283">
        <f t="shared" si="2"/>
        <v>27.999999999999996</v>
      </c>
    </row>
    <row r="18" spans="1:29">
      <c r="A18" s="354" t="s">
        <v>1</v>
      </c>
      <c r="B18" s="354" t="s">
        <v>2</v>
      </c>
      <c r="C18" s="354" t="s">
        <v>3</v>
      </c>
      <c r="D18" s="354" t="s">
        <v>4</v>
      </c>
      <c r="E18" s="354" t="s">
        <v>5</v>
      </c>
      <c r="F18" s="8"/>
      <c r="G18" s="354" t="s">
        <v>1</v>
      </c>
      <c r="H18" s="354" t="s">
        <v>2</v>
      </c>
      <c r="I18" s="354" t="s">
        <v>3</v>
      </c>
      <c r="J18" s="354" t="s">
        <v>4</v>
      </c>
      <c r="K18" s="354" t="s">
        <v>5</v>
      </c>
      <c r="L18" s="8"/>
      <c r="M18" s="354" t="s">
        <v>1</v>
      </c>
      <c r="N18" s="354" t="s">
        <v>2</v>
      </c>
      <c r="O18" s="354" t="s">
        <v>3</v>
      </c>
      <c r="P18" s="354" t="s">
        <v>4</v>
      </c>
      <c r="Q18" s="354" t="s">
        <v>5</v>
      </c>
      <c r="U18" s="33" t="s">
        <v>215</v>
      </c>
      <c r="V18" s="150">
        <v>567</v>
      </c>
      <c r="W18" s="218" t="s">
        <v>616</v>
      </c>
      <c r="X18" s="14">
        <f>I13</f>
        <v>8.6</v>
      </c>
      <c r="Y18" s="283">
        <f t="shared" si="0"/>
        <v>24.999999999999993</v>
      </c>
      <c r="Z18" s="14">
        <f>J13</f>
        <v>6.7</v>
      </c>
      <c r="AA18" s="283">
        <f t="shared" si="1"/>
        <v>32.999999999999993</v>
      </c>
      <c r="AB18" s="69">
        <f>Table35155053537[[#This Row],[Floor4]]+Table35155053537[[#This Row],[Vault6]]</f>
        <v>15.3</v>
      </c>
      <c r="AC18" s="283">
        <f t="shared" si="2"/>
        <v>45.000000000000007</v>
      </c>
    </row>
    <row r="19" spans="1:29">
      <c r="A19" s="150">
        <v>574</v>
      </c>
      <c r="B19" s="95" t="s">
        <v>271</v>
      </c>
      <c r="C19" s="14">
        <v>9.3000000000000007</v>
      </c>
      <c r="D19" s="14">
        <v>8.4</v>
      </c>
      <c r="E19" s="14">
        <f>SUM(C19,D19)</f>
        <v>17.700000000000003</v>
      </c>
      <c r="F19" s="8"/>
      <c r="G19" s="150">
        <v>580</v>
      </c>
      <c r="H19" s="95" t="s">
        <v>84</v>
      </c>
      <c r="I19" s="14">
        <v>7.45</v>
      </c>
      <c r="J19" s="14">
        <v>0</v>
      </c>
      <c r="K19" s="14">
        <f>SUM(I19,J19)</f>
        <v>7.45</v>
      </c>
      <c r="L19" s="8"/>
      <c r="M19" s="150">
        <v>594</v>
      </c>
      <c r="N19" s="95" t="s">
        <v>466</v>
      </c>
      <c r="O19" s="14">
        <v>9.1</v>
      </c>
      <c r="P19" s="14">
        <v>7.35</v>
      </c>
      <c r="Q19" s="14">
        <f>SUM(O19,P19)</f>
        <v>16.45</v>
      </c>
      <c r="U19" s="33" t="s">
        <v>626</v>
      </c>
      <c r="V19" s="150">
        <v>568</v>
      </c>
      <c r="W19" s="93" t="s">
        <v>642</v>
      </c>
      <c r="X19" s="14">
        <f>O8</f>
        <v>8.65</v>
      </c>
      <c r="Y19" s="283">
        <f t="shared" si="0"/>
        <v>23.999999999999993</v>
      </c>
      <c r="Z19" s="14">
        <f>P8</f>
        <v>7.6</v>
      </c>
      <c r="AA19" s="283">
        <f t="shared" si="1"/>
        <v>19.999999999999993</v>
      </c>
      <c r="AB19" s="69">
        <f>Table35155053537[[#This Row],[Floor4]]+Table35155053537[[#This Row],[Vault6]]</f>
        <v>16.25</v>
      </c>
      <c r="AC19" s="283">
        <f t="shared" si="2"/>
        <v>34</v>
      </c>
    </row>
    <row r="20" spans="1:29">
      <c r="A20" s="150">
        <v>575</v>
      </c>
      <c r="B20" s="95" t="s">
        <v>150</v>
      </c>
      <c r="C20" s="14">
        <v>8.9499999999999993</v>
      </c>
      <c r="D20" s="14">
        <v>8</v>
      </c>
      <c r="E20" s="14">
        <f t="shared" ref="E20:E24" si="10">SUM(C20,D20)</f>
        <v>16.95</v>
      </c>
      <c r="F20" s="8"/>
      <c r="G20" s="150">
        <v>581</v>
      </c>
      <c r="H20" s="95" t="s">
        <v>274</v>
      </c>
      <c r="I20" s="14">
        <v>8.8000000000000007</v>
      </c>
      <c r="J20" s="14">
        <v>8.3000000000000007</v>
      </c>
      <c r="K20" s="14">
        <f t="shared" ref="K20:K24" si="11">SUM(I20,J20)</f>
        <v>17.100000000000001</v>
      </c>
      <c r="L20" s="8"/>
      <c r="M20" s="150">
        <v>587</v>
      </c>
      <c r="N20" s="95" t="s">
        <v>733</v>
      </c>
      <c r="O20" s="14">
        <v>9.1999999999999993</v>
      </c>
      <c r="P20" s="14">
        <v>8.1999999999999993</v>
      </c>
      <c r="Q20" s="14">
        <f t="shared" ref="Q20:Q24" si="12">SUM(O20,P20)</f>
        <v>17.399999999999999</v>
      </c>
      <c r="U20" s="33" t="s">
        <v>626</v>
      </c>
      <c r="V20" s="150">
        <v>569</v>
      </c>
      <c r="W20" s="93" t="s">
        <v>643</v>
      </c>
      <c r="X20" s="14">
        <f t="shared" ref="X20:X22" si="13">O9</f>
        <v>9.25</v>
      </c>
      <c r="Y20" s="283">
        <f t="shared" si="0"/>
        <v>12</v>
      </c>
      <c r="Z20" s="14">
        <f t="shared" ref="Z20:Z22" si="14">P9</f>
        <v>7.55</v>
      </c>
      <c r="AA20" s="283">
        <f t="shared" si="1"/>
        <v>20.999999999999989</v>
      </c>
      <c r="AB20" s="69">
        <f>Table35155053537[[#This Row],[Floor4]]+Table35155053537[[#This Row],[Vault6]]</f>
        <v>16.8</v>
      </c>
      <c r="AC20" s="283">
        <f t="shared" si="2"/>
        <v>22.999999999999996</v>
      </c>
    </row>
    <row r="21" spans="1:29">
      <c r="A21" s="150">
        <v>576</v>
      </c>
      <c r="B21" s="95" t="s">
        <v>82</v>
      </c>
      <c r="C21" s="14">
        <v>7.85</v>
      </c>
      <c r="D21" s="14">
        <v>8.25</v>
      </c>
      <c r="E21" s="14">
        <f t="shared" si="10"/>
        <v>16.100000000000001</v>
      </c>
      <c r="F21" s="8"/>
      <c r="G21" s="150">
        <v>582</v>
      </c>
      <c r="H21" s="95" t="s">
        <v>83</v>
      </c>
      <c r="I21" s="14">
        <v>8.9</v>
      </c>
      <c r="J21" s="14">
        <v>8</v>
      </c>
      <c r="K21" s="14">
        <f t="shared" si="11"/>
        <v>16.899999999999999</v>
      </c>
      <c r="L21" s="8"/>
      <c r="M21" s="150">
        <v>588</v>
      </c>
      <c r="N21" s="95" t="s">
        <v>285</v>
      </c>
      <c r="O21" s="14">
        <v>9.1</v>
      </c>
      <c r="P21" s="14">
        <v>7.7</v>
      </c>
      <c r="Q21" s="14">
        <f t="shared" si="12"/>
        <v>16.8</v>
      </c>
      <c r="U21" s="33" t="s">
        <v>626</v>
      </c>
      <c r="V21" s="150">
        <v>570</v>
      </c>
      <c r="W21" s="93" t="s">
        <v>644</v>
      </c>
      <c r="X21" s="14">
        <f>O10</f>
        <v>8.9</v>
      </c>
      <c r="Y21" s="283">
        <f t="shared" si="0"/>
        <v>19</v>
      </c>
      <c r="Z21" s="14">
        <f>P10</f>
        <v>8.1999999999999993</v>
      </c>
      <c r="AA21" s="283">
        <f t="shared" si="1"/>
        <v>7.0000000000000009</v>
      </c>
      <c r="AB21" s="69">
        <f>Table35155053537[[#This Row],[Floor4]]+Table35155053537[[#This Row],[Vault6]]</f>
        <v>17.100000000000001</v>
      </c>
      <c r="AC21" s="283">
        <f t="shared" si="2"/>
        <v>17.999999999999996</v>
      </c>
    </row>
    <row r="22" spans="1:29">
      <c r="A22" s="150">
        <v>577</v>
      </c>
      <c r="B22" s="95" t="s">
        <v>48</v>
      </c>
      <c r="C22" s="14">
        <v>8.5500000000000007</v>
      </c>
      <c r="D22" s="14">
        <v>7.7</v>
      </c>
      <c r="E22" s="14">
        <f t="shared" si="10"/>
        <v>16.25</v>
      </c>
      <c r="F22" s="8"/>
      <c r="G22" s="150">
        <v>583</v>
      </c>
      <c r="H22" s="95" t="s">
        <v>276</v>
      </c>
      <c r="I22" s="14">
        <v>8.6</v>
      </c>
      <c r="J22" s="14">
        <v>7.65</v>
      </c>
      <c r="K22" s="14">
        <f t="shared" si="11"/>
        <v>16.25</v>
      </c>
      <c r="L22" s="8"/>
      <c r="M22" s="150">
        <v>589</v>
      </c>
      <c r="N22" s="95" t="s">
        <v>734</v>
      </c>
      <c r="O22" s="14">
        <v>9.15</v>
      </c>
      <c r="P22" s="14">
        <v>7.65</v>
      </c>
      <c r="Q22" s="14">
        <f t="shared" si="12"/>
        <v>16.8</v>
      </c>
      <c r="U22" s="33" t="s">
        <v>626</v>
      </c>
      <c r="V22" s="150">
        <v>571</v>
      </c>
      <c r="W22" s="93" t="s">
        <v>645</v>
      </c>
      <c r="X22" s="14">
        <f t="shared" si="13"/>
        <v>9.3000000000000007</v>
      </c>
      <c r="Y22" s="283">
        <f t="shared" si="0"/>
        <v>11</v>
      </c>
      <c r="Z22" s="14">
        <f t="shared" si="14"/>
        <v>7.9</v>
      </c>
      <c r="AA22" s="283">
        <f t="shared" si="1"/>
        <v>12.999999999999993</v>
      </c>
      <c r="AB22" s="69">
        <f>Table35155053537[[#This Row],[Floor4]]+Table35155053537[[#This Row],[Vault6]]</f>
        <v>17.200000000000003</v>
      </c>
      <c r="AC22" s="283">
        <f t="shared" si="2"/>
        <v>17</v>
      </c>
    </row>
    <row r="23" spans="1:29">
      <c r="A23" s="150">
        <v>578</v>
      </c>
      <c r="B23" s="95" t="s">
        <v>273</v>
      </c>
      <c r="C23" s="14">
        <v>8.8000000000000007</v>
      </c>
      <c r="D23" s="14">
        <v>7.7</v>
      </c>
      <c r="E23" s="14">
        <f t="shared" si="10"/>
        <v>16.5</v>
      </c>
      <c r="F23" s="8"/>
      <c r="G23" s="150">
        <v>584</v>
      </c>
      <c r="H23" s="95" t="s">
        <v>277</v>
      </c>
      <c r="I23" s="14">
        <v>8.15</v>
      </c>
      <c r="J23" s="14">
        <v>7.3</v>
      </c>
      <c r="K23" s="14">
        <f t="shared" si="11"/>
        <v>15.45</v>
      </c>
      <c r="L23" s="8"/>
      <c r="M23" s="150">
        <v>596</v>
      </c>
      <c r="N23" s="95" t="s">
        <v>736</v>
      </c>
      <c r="O23" s="14">
        <v>9.4</v>
      </c>
      <c r="P23" s="14">
        <v>7.3</v>
      </c>
      <c r="Q23" s="14">
        <f>SUM(O23,P23)</f>
        <v>16.7</v>
      </c>
      <c r="U23" s="33" t="s">
        <v>81</v>
      </c>
      <c r="V23" s="150">
        <v>574</v>
      </c>
      <c r="W23" s="93" t="s">
        <v>271</v>
      </c>
      <c r="X23" s="14">
        <f>C19</f>
        <v>9.3000000000000007</v>
      </c>
      <c r="Y23" s="283">
        <f t="shared" si="0"/>
        <v>11</v>
      </c>
      <c r="Z23" s="14">
        <f>D19</f>
        <v>8.4</v>
      </c>
      <c r="AA23" s="283">
        <f t="shared" si="1"/>
        <v>4</v>
      </c>
      <c r="AB23" s="69">
        <f>Table35155053537[[#This Row],[Floor4]]+Table35155053537[[#This Row],[Vault6]]</f>
        <v>17.700000000000003</v>
      </c>
      <c r="AC23" s="283">
        <f t="shared" si="2"/>
        <v>9</v>
      </c>
    </row>
    <row r="24" spans="1:29" ht="16.5" thickBot="1">
      <c r="A24" s="150">
        <v>579</v>
      </c>
      <c r="B24" s="359"/>
      <c r="C24" s="14">
        <v>0</v>
      </c>
      <c r="D24" s="14">
        <v>0</v>
      </c>
      <c r="E24" s="14">
        <f t="shared" si="10"/>
        <v>0</v>
      </c>
      <c r="F24" s="8"/>
      <c r="G24" s="150">
        <v>585</v>
      </c>
      <c r="H24" s="95" t="s">
        <v>692</v>
      </c>
      <c r="I24" s="14">
        <v>7.85</v>
      </c>
      <c r="J24" s="14">
        <v>8.3000000000000007</v>
      </c>
      <c r="K24" s="14">
        <f t="shared" si="11"/>
        <v>16.149999999999999</v>
      </c>
      <c r="L24" s="8"/>
      <c r="M24" s="150">
        <v>591</v>
      </c>
      <c r="N24" s="95" t="s">
        <v>291</v>
      </c>
      <c r="O24" s="14">
        <v>9.0500000000000007</v>
      </c>
      <c r="P24" s="14">
        <v>7.5</v>
      </c>
      <c r="Q24" s="14">
        <f t="shared" si="12"/>
        <v>16.55</v>
      </c>
      <c r="U24" s="33" t="s">
        <v>81</v>
      </c>
      <c r="V24" s="150">
        <v>575</v>
      </c>
      <c r="W24" s="93" t="s">
        <v>150</v>
      </c>
      <c r="X24" s="14">
        <f t="shared" ref="X24:X26" si="15">C20</f>
        <v>8.9499999999999993</v>
      </c>
      <c r="Y24" s="283">
        <f t="shared" si="0"/>
        <v>17.999999999999996</v>
      </c>
      <c r="Z24" s="14">
        <f t="shared" ref="Z24:Z26" si="16">D20</f>
        <v>8</v>
      </c>
      <c r="AA24" s="283">
        <f t="shared" si="1"/>
        <v>11</v>
      </c>
      <c r="AB24" s="69">
        <f>Table35155053537[[#This Row],[Floor4]]+Table35155053537[[#This Row],[Vault6]]</f>
        <v>16.95</v>
      </c>
      <c r="AC24" s="283">
        <f t="shared" si="2"/>
        <v>21</v>
      </c>
    </row>
    <row r="25" spans="1:29" ht="16.5" thickBot="1">
      <c r="A25" s="8"/>
      <c r="B25" s="18" t="s">
        <v>10</v>
      </c>
      <c r="C25" s="19">
        <f>SUM(C19:C24)-SMALL(C19:C24,1)-SMALL(C19:C24,2)</f>
        <v>35.6</v>
      </c>
      <c r="D25" s="19">
        <f>SUM(D19:D24)-SMALL(D19:D24,1)-SMALL(D19:D24,2)</f>
        <v>32.35</v>
      </c>
      <c r="E25" s="20">
        <f>SUM(C25:D25)</f>
        <v>67.95</v>
      </c>
      <c r="F25" s="8"/>
      <c r="G25" s="8"/>
      <c r="H25" s="18" t="s">
        <v>10</v>
      </c>
      <c r="I25" s="19">
        <f>SUM(I19:I24)-SMALL(I19:I24,1)-SMALL(I19:I24,2)</f>
        <v>34.449999999999996</v>
      </c>
      <c r="J25" s="19">
        <f>SUM(J19:J24)-SMALL(J19:J24,1)-SMALL(J19:J24,2)</f>
        <v>32.250000000000007</v>
      </c>
      <c r="K25" s="20">
        <f>SUM(I25:J25)</f>
        <v>66.7</v>
      </c>
      <c r="L25" s="8"/>
      <c r="M25" s="8"/>
      <c r="N25" s="18" t="s">
        <v>10</v>
      </c>
      <c r="O25" s="19">
        <f>SUM(O19:O24)-SMALL(O19:O24,1)-SMALL(O19:O24,2)</f>
        <v>36.85</v>
      </c>
      <c r="P25" s="448">
        <f>SUM(P19:P24)-SMALL(P19:P24,1)-SMALL(P19:P24,2)</f>
        <v>31.049999999999997</v>
      </c>
      <c r="Q25" s="20">
        <f>SUM(O25:P25)</f>
        <v>67.900000000000006</v>
      </c>
      <c r="U25" s="33" t="s">
        <v>81</v>
      </c>
      <c r="V25" s="150">
        <v>576</v>
      </c>
      <c r="W25" s="93" t="s">
        <v>82</v>
      </c>
      <c r="X25" s="14">
        <f t="shared" si="15"/>
        <v>7.85</v>
      </c>
      <c r="Y25" s="283">
        <f t="shared" si="0"/>
        <v>36</v>
      </c>
      <c r="Z25" s="14">
        <f t="shared" si="16"/>
        <v>8.25</v>
      </c>
      <c r="AA25" s="283">
        <f t="shared" si="1"/>
        <v>6.0000000000000009</v>
      </c>
      <c r="AB25" s="69">
        <f>Table35155053537[[#This Row],[Floor4]]+Table35155053537[[#This Row],[Vault6]]</f>
        <v>16.100000000000001</v>
      </c>
      <c r="AC25" s="283">
        <f t="shared" si="2"/>
        <v>36</v>
      </c>
    </row>
    <row r="26" spans="1:29">
      <c r="A26" s="8"/>
      <c r="B26" s="360" t="s">
        <v>37</v>
      </c>
      <c r="C26" s="8"/>
      <c r="D26" s="18"/>
      <c r="E26" s="22"/>
      <c r="F26" s="8"/>
      <c r="G26" s="8"/>
      <c r="H26" s="360" t="s">
        <v>37</v>
      </c>
      <c r="I26" s="8"/>
      <c r="J26" s="18"/>
      <c r="K26" s="22"/>
      <c r="L26" s="8"/>
      <c r="M26" s="8"/>
      <c r="N26" s="360" t="s">
        <v>37</v>
      </c>
      <c r="O26" s="64"/>
      <c r="P26" s="84"/>
      <c r="Q26" s="22"/>
      <c r="U26" s="33" t="s">
        <v>81</v>
      </c>
      <c r="V26" s="150">
        <v>577</v>
      </c>
      <c r="W26" s="93" t="s">
        <v>48</v>
      </c>
      <c r="X26" s="14">
        <f t="shared" si="15"/>
        <v>8.5500000000000007</v>
      </c>
      <c r="Y26" s="283">
        <f t="shared" si="0"/>
        <v>25.999999999999989</v>
      </c>
      <c r="Z26" s="14">
        <f t="shared" si="16"/>
        <v>7.7</v>
      </c>
      <c r="AA26" s="283">
        <f t="shared" si="1"/>
        <v>17.999999999999993</v>
      </c>
      <c r="AB26" s="69">
        <f>Table35155053537[[#This Row],[Floor4]]+Table35155053537[[#This Row],[Vault6]]</f>
        <v>16.25</v>
      </c>
      <c r="AC26" s="283">
        <f t="shared" si="2"/>
        <v>34</v>
      </c>
    </row>
    <row r="27" spans="1:29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U27" s="33" t="s">
        <v>81</v>
      </c>
      <c r="V27" s="150">
        <v>578</v>
      </c>
      <c r="W27" s="93" t="s">
        <v>273</v>
      </c>
      <c r="X27" s="14">
        <f>C23</f>
        <v>8.8000000000000007</v>
      </c>
      <c r="Y27" s="283">
        <f t="shared" si="0"/>
        <v>21.999999999999993</v>
      </c>
      <c r="Z27" s="14">
        <f>D23</f>
        <v>7.7</v>
      </c>
      <c r="AA27" s="283">
        <f t="shared" si="1"/>
        <v>17.999999999999993</v>
      </c>
      <c r="AB27" s="69">
        <f>Table35155053537[[#This Row],[Floor4]]+Table35155053537[[#This Row],[Vault6]]</f>
        <v>16.5</v>
      </c>
      <c r="AC27" s="283">
        <f t="shared" si="2"/>
        <v>28.999999999999996</v>
      </c>
    </row>
    <row r="28" spans="1:29">
      <c r="A28" s="444"/>
      <c r="B28" s="395"/>
      <c r="C28" s="395"/>
      <c r="D28" s="395"/>
      <c r="E28" s="395"/>
      <c r="F28" s="8"/>
      <c r="G28" s="306" t="s">
        <v>304</v>
      </c>
      <c r="H28" s="349"/>
      <c r="I28" s="349"/>
      <c r="J28" s="349"/>
      <c r="K28" s="350"/>
      <c r="L28" s="8"/>
      <c r="M28" s="348" t="s">
        <v>812</v>
      </c>
      <c r="N28" s="349"/>
      <c r="O28" s="349"/>
      <c r="P28" s="349"/>
      <c r="Q28" s="350"/>
      <c r="U28" s="33" t="s">
        <v>81</v>
      </c>
      <c r="V28" s="150">
        <v>580</v>
      </c>
      <c r="W28" s="93" t="s">
        <v>84</v>
      </c>
      <c r="X28" s="14">
        <f>I19</f>
        <v>7.45</v>
      </c>
      <c r="Y28" s="283">
        <f t="shared" si="0"/>
        <v>38.000000000000014</v>
      </c>
      <c r="Z28" s="14">
        <f>J19</f>
        <v>0</v>
      </c>
      <c r="AA28" s="283">
        <f t="shared" si="1"/>
        <v>33.999999999999993</v>
      </c>
      <c r="AB28" s="69">
        <f>Table35155053537[[#This Row],[Floor4]]+Table35155053537[[#This Row],[Vault6]]</f>
        <v>7.45</v>
      </c>
      <c r="AC28" s="283">
        <f t="shared" si="2"/>
        <v>52.000000000000007</v>
      </c>
    </row>
    <row r="29" spans="1:29">
      <c r="A29" s="77"/>
      <c r="B29" s="77"/>
      <c r="C29" s="77"/>
      <c r="D29" s="77"/>
      <c r="E29" s="77"/>
      <c r="F29" s="8"/>
      <c r="G29" s="354" t="s">
        <v>1</v>
      </c>
      <c r="H29" s="354" t="s">
        <v>2</v>
      </c>
      <c r="I29" s="354" t="s">
        <v>3</v>
      </c>
      <c r="J29" s="354" t="s">
        <v>4</v>
      </c>
      <c r="K29" s="354" t="s">
        <v>5</v>
      </c>
      <c r="L29" s="8"/>
      <c r="M29" s="354" t="s">
        <v>1</v>
      </c>
      <c r="N29" s="354" t="s">
        <v>2</v>
      </c>
      <c r="O29" s="354" t="s">
        <v>3</v>
      </c>
      <c r="P29" s="354" t="s">
        <v>4</v>
      </c>
      <c r="Q29" s="354" t="s">
        <v>5</v>
      </c>
      <c r="U29" s="33" t="s">
        <v>81</v>
      </c>
      <c r="V29" s="150">
        <v>581</v>
      </c>
      <c r="W29" s="93" t="s">
        <v>274</v>
      </c>
      <c r="X29" s="14">
        <f t="shared" ref="X29:X32" si="17">I20</f>
        <v>8.8000000000000007</v>
      </c>
      <c r="Y29" s="283">
        <f t="shared" si="0"/>
        <v>21.999999999999993</v>
      </c>
      <c r="Z29" s="14">
        <f t="shared" ref="Z29:Z32" si="18">J20</f>
        <v>8.3000000000000007</v>
      </c>
      <c r="AA29" s="283">
        <f t="shared" si="1"/>
        <v>5.0000000000000009</v>
      </c>
      <c r="AB29" s="69">
        <f>Table35155053537[[#This Row],[Floor4]]+Table35155053537[[#This Row],[Vault6]]</f>
        <v>17.100000000000001</v>
      </c>
      <c r="AC29" s="283">
        <f t="shared" si="2"/>
        <v>17.999999999999996</v>
      </c>
    </row>
    <row r="30" spans="1:29">
      <c r="A30" s="445"/>
      <c r="B30" s="446"/>
      <c r="C30" s="447"/>
      <c r="D30" s="447"/>
      <c r="E30" s="447"/>
      <c r="F30" s="8"/>
      <c r="G30" s="408">
        <v>598</v>
      </c>
      <c r="H30" s="439" t="s">
        <v>793</v>
      </c>
      <c r="I30" s="401">
        <v>0</v>
      </c>
      <c r="J30" s="401">
        <v>0</v>
      </c>
      <c r="K30" s="401">
        <f>SUM(I30,J30)</f>
        <v>0</v>
      </c>
      <c r="L30" s="8"/>
      <c r="M30" s="150">
        <v>604</v>
      </c>
      <c r="N30" s="95" t="s">
        <v>340</v>
      </c>
      <c r="O30" s="14">
        <v>8.75</v>
      </c>
      <c r="P30" s="14">
        <v>7.8</v>
      </c>
      <c r="Q30" s="14">
        <f>SUM(O30,P30)</f>
        <v>16.55</v>
      </c>
      <c r="U30" s="33" t="s">
        <v>81</v>
      </c>
      <c r="V30" s="150">
        <v>582</v>
      </c>
      <c r="W30" s="93" t="s">
        <v>83</v>
      </c>
      <c r="X30" s="14">
        <f t="shared" si="17"/>
        <v>8.9</v>
      </c>
      <c r="Y30" s="283">
        <f t="shared" si="0"/>
        <v>19</v>
      </c>
      <c r="Z30" s="14">
        <f t="shared" si="18"/>
        <v>8</v>
      </c>
      <c r="AA30" s="283">
        <f t="shared" si="1"/>
        <v>11</v>
      </c>
      <c r="AB30" s="69">
        <f>Table35155053537[[#This Row],[Floor4]]+Table35155053537[[#This Row],[Vault6]]</f>
        <v>16.899999999999999</v>
      </c>
      <c r="AC30" s="283">
        <f t="shared" si="2"/>
        <v>21.999999999999996</v>
      </c>
    </row>
    <row r="31" spans="1:29">
      <c r="A31" s="165"/>
      <c r="B31" s="107"/>
      <c r="C31" s="68"/>
      <c r="D31" s="68"/>
      <c r="E31" s="68"/>
      <c r="F31" s="8"/>
      <c r="G31" s="150">
        <v>599</v>
      </c>
      <c r="H31" s="95" t="s">
        <v>794</v>
      </c>
      <c r="I31" s="14">
        <v>9.1</v>
      </c>
      <c r="J31" s="14">
        <v>7.6</v>
      </c>
      <c r="K31" s="14">
        <f t="shared" ref="K31:K35" si="19">SUM(I31,J31)</f>
        <v>16.7</v>
      </c>
      <c r="L31" s="8"/>
      <c r="M31" s="150">
        <v>605</v>
      </c>
      <c r="N31" s="95" t="s">
        <v>336</v>
      </c>
      <c r="O31" s="14">
        <v>9.0500000000000007</v>
      </c>
      <c r="P31" s="14">
        <v>7</v>
      </c>
      <c r="Q31" s="14">
        <f t="shared" ref="Q31:Q35" si="20">SUM(O31,P31)</f>
        <v>16.05</v>
      </c>
      <c r="U31" s="33" t="s">
        <v>81</v>
      </c>
      <c r="V31" s="150">
        <v>583</v>
      </c>
      <c r="W31" s="93" t="s">
        <v>276</v>
      </c>
      <c r="X31" s="14">
        <f t="shared" si="17"/>
        <v>8.6</v>
      </c>
      <c r="Y31" s="283">
        <f t="shared" si="0"/>
        <v>24.999999999999993</v>
      </c>
      <c r="Z31" s="14">
        <f t="shared" si="18"/>
        <v>7.65</v>
      </c>
      <c r="AA31" s="283">
        <f t="shared" si="1"/>
        <v>18.999999999999993</v>
      </c>
      <c r="AB31" s="69">
        <f>Table35155053537[[#This Row],[Floor4]]+Table35155053537[[#This Row],[Vault6]]</f>
        <v>16.25</v>
      </c>
      <c r="AC31" s="283">
        <f t="shared" si="2"/>
        <v>34</v>
      </c>
    </row>
    <row r="32" spans="1:29">
      <c r="A32" s="264"/>
      <c r="B32" s="264"/>
      <c r="C32" s="264"/>
      <c r="D32" s="264"/>
      <c r="E32" s="264"/>
      <c r="F32" s="8"/>
      <c r="G32" s="150">
        <v>600</v>
      </c>
      <c r="H32" s="95" t="s">
        <v>795</v>
      </c>
      <c r="I32" s="14">
        <v>9.15</v>
      </c>
      <c r="J32" s="14">
        <v>7.5</v>
      </c>
      <c r="K32" s="14">
        <f t="shared" si="19"/>
        <v>16.649999999999999</v>
      </c>
      <c r="L32" s="8"/>
      <c r="M32" s="150">
        <v>606</v>
      </c>
      <c r="N32" s="95" t="s">
        <v>349</v>
      </c>
      <c r="O32" s="14">
        <v>8.5500000000000007</v>
      </c>
      <c r="P32" s="14">
        <v>8</v>
      </c>
      <c r="Q32" s="14">
        <f t="shared" si="20"/>
        <v>16.55</v>
      </c>
      <c r="U32" s="33" t="s">
        <v>81</v>
      </c>
      <c r="V32" s="150">
        <v>584</v>
      </c>
      <c r="W32" s="93" t="s">
        <v>277</v>
      </c>
      <c r="X32" s="14">
        <f t="shared" si="17"/>
        <v>8.15</v>
      </c>
      <c r="Y32" s="283">
        <f t="shared" si="0"/>
        <v>31.999999999999989</v>
      </c>
      <c r="Z32" s="14">
        <f t="shared" si="18"/>
        <v>7.3</v>
      </c>
      <c r="AA32" s="283">
        <f t="shared" si="1"/>
        <v>25.999999999999986</v>
      </c>
      <c r="AB32" s="69">
        <f>Table35155053537[[#This Row],[Floor4]]+Table35155053537[[#This Row],[Vault6]]</f>
        <v>15.45</v>
      </c>
      <c r="AC32" s="283">
        <f t="shared" si="2"/>
        <v>44.000000000000007</v>
      </c>
    </row>
    <row r="33" spans="1:29">
      <c r="A33" s="445"/>
      <c r="B33" s="446"/>
      <c r="C33" s="447"/>
      <c r="D33" s="447"/>
      <c r="E33" s="447"/>
      <c r="F33" s="8"/>
      <c r="G33" s="150">
        <v>601</v>
      </c>
      <c r="H33" s="95" t="s">
        <v>312</v>
      </c>
      <c r="I33" s="14">
        <v>9.15</v>
      </c>
      <c r="J33" s="14">
        <v>8.1</v>
      </c>
      <c r="K33" s="14">
        <f t="shared" si="19"/>
        <v>17.25</v>
      </c>
      <c r="L33" s="8"/>
      <c r="M33" s="150">
        <v>607</v>
      </c>
      <c r="N33" s="95" t="s">
        <v>341</v>
      </c>
      <c r="O33" s="14">
        <v>8.9499999999999993</v>
      </c>
      <c r="P33" s="14">
        <v>7.75</v>
      </c>
      <c r="Q33" s="14">
        <f t="shared" si="20"/>
        <v>16.7</v>
      </c>
      <c r="U33" s="33" t="s">
        <v>81</v>
      </c>
      <c r="V33" s="150">
        <v>585</v>
      </c>
      <c r="W33" s="93" t="s">
        <v>692</v>
      </c>
      <c r="X33" s="14">
        <f>I24</f>
        <v>7.85</v>
      </c>
      <c r="Y33" s="283">
        <f t="shared" si="0"/>
        <v>36</v>
      </c>
      <c r="Z33" s="14">
        <f>J24</f>
        <v>8.3000000000000007</v>
      </c>
      <c r="AA33" s="283">
        <f t="shared" si="1"/>
        <v>5.0000000000000009</v>
      </c>
      <c r="AB33" s="69">
        <f>Table35155053537[[#This Row],[Floor4]]+Table35155053537[[#This Row],[Vault6]]</f>
        <v>16.149999999999999</v>
      </c>
      <c r="AC33" s="283">
        <f t="shared" si="2"/>
        <v>35</v>
      </c>
    </row>
    <row r="34" spans="1:29">
      <c r="A34" s="264"/>
      <c r="B34" s="264"/>
      <c r="C34" s="264"/>
      <c r="D34" s="264"/>
      <c r="E34" s="264"/>
      <c r="F34" s="8"/>
      <c r="G34" s="150">
        <v>602</v>
      </c>
      <c r="H34" s="95" t="s">
        <v>796</v>
      </c>
      <c r="I34" s="14">
        <v>9</v>
      </c>
      <c r="J34" s="14">
        <v>7.5</v>
      </c>
      <c r="K34" s="14">
        <f t="shared" si="19"/>
        <v>16.5</v>
      </c>
      <c r="L34" s="8"/>
      <c r="M34" s="150">
        <v>608</v>
      </c>
      <c r="N34" s="95" t="s">
        <v>466</v>
      </c>
      <c r="O34" s="14">
        <v>9</v>
      </c>
      <c r="P34" s="14">
        <v>7.75</v>
      </c>
      <c r="Q34" s="14">
        <f t="shared" si="20"/>
        <v>16.75</v>
      </c>
      <c r="U34" s="33" t="s">
        <v>706</v>
      </c>
      <c r="V34" s="150">
        <v>587</v>
      </c>
      <c r="W34" s="93" t="s">
        <v>733</v>
      </c>
      <c r="X34" s="14">
        <f>O20</f>
        <v>9.1999999999999993</v>
      </c>
      <c r="Y34" s="283">
        <f t="shared" si="0"/>
        <v>13</v>
      </c>
      <c r="Z34" s="14">
        <f>P20</f>
        <v>8.1999999999999993</v>
      </c>
      <c r="AA34" s="283">
        <f t="shared" si="1"/>
        <v>7.0000000000000009</v>
      </c>
      <c r="AB34" s="69">
        <f>Table35155053537[[#This Row],[Floor4]]+Table35155053537[[#This Row],[Vault6]]</f>
        <v>17.399999999999999</v>
      </c>
      <c r="AC34" s="283">
        <f t="shared" si="2"/>
        <v>13</v>
      </c>
    </row>
    <row r="35" spans="1:29" ht="16.5" thickBot="1">
      <c r="A35" s="165"/>
      <c r="B35" s="107"/>
      <c r="C35" s="68"/>
      <c r="D35" s="68"/>
      <c r="E35" s="68"/>
      <c r="F35" s="8"/>
      <c r="G35" s="150">
        <v>603</v>
      </c>
      <c r="H35" s="359"/>
      <c r="I35" s="14">
        <v>0</v>
      </c>
      <c r="J35" s="14">
        <v>0</v>
      </c>
      <c r="K35" s="14">
        <f t="shared" si="19"/>
        <v>0</v>
      </c>
      <c r="L35" s="8"/>
      <c r="M35" s="150">
        <v>609</v>
      </c>
      <c r="N35" s="359"/>
      <c r="O35" s="14">
        <v>0</v>
      </c>
      <c r="P35" s="14">
        <v>0</v>
      </c>
      <c r="Q35" s="14">
        <f t="shared" si="20"/>
        <v>0</v>
      </c>
      <c r="U35" s="33" t="s">
        <v>706</v>
      </c>
      <c r="V35" s="150">
        <v>588</v>
      </c>
      <c r="W35" s="93" t="s">
        <v>285</v>
      </c>
      <c r="X35" s="14">
        <f>O21</f>
        <v>9.1</v>
      </c>
      <c r="Y35" s="283">
        <f t="shared" si="0"/>
        <v>15.000000000000002</v>
      </c>
      <c r="Z35" s="14">
        <f>P21</f>
        <v>7.7</v>
      </c>
      <c r="AA35" s="283">
        <f t="shared" si="1"/>
        <v>17.999999999999993</v>
      </c>
      <c r="AB35" s="69">
        <f>Table35155053537[[#This Row],[Floor4]]+Table35155053537[[#This Row],[Vault6]]</f>
        <v>16.8</v>
      </c>
      <c r="AC35" s="283">
        <f t="shared" si="2"/>
        <v>22.999999999999996</v>
      </c>
    </row>
    <row r="36" spans="1:29" ht="16.5" thickBot="1">
      <c r="A36" s="267"/>
      <c r="B36" s="84"/>
      <c r="C36" s="64"/>
      <c r="D36" s="64"/>
      <c r="E36" s="105"/>
      <c r="F36" s="8"/>
      <c r="G36" s="8"/>
      <c r="H36" s="18" t="s">
        <v>10</v>
      </c>
      <c r="I36" s="19">
        <f>SUM(I30:I35)-SMALL(I30:I35,1)-SMALL(I30:I35,2)</f>
        <v>36.4</v>
      </c>
      <c r="J36" s="19">
        <f>SUM(J30:J35)-SMALL(J30:J35,1)-SMALL(J30:J35,2)</f>
        <v>30.7</v>
      </c>
      <c r="K36" s="20">
        <f>SUM(I36:J36)</f>
        <v>67.099999999999994</v>
      </c>
      <c r="L36" s="8"/>
      <c r="M36" s="8"/>
      <c r="N36" s="18" t="s">
        <v>10</v>
      </c>
      <c r="O36" s="19">
        <f>SUM(O30:O35)-SMALL(O30:O35,1)-SMALL(O30:O35,2)</f>
        <v>35.75</v>
      </c>
      <c r="P36" s="19">
        <f>SUM(P30:P35)-SMALL(P30:P35,1)-SMALL(P30:P35,2)</f>
        <v>31.299999999999997</v>
      </c>
      <c r="Q36" s="20">
        <f>SUM(O36:P36)</f>
        <v>67.05</v>
      </c>
      <c r="U36" s="33" t="s">
        <v>706</v>
      </c>
      <c r="V36" s="150">
        <v>589</v>
      </c>
      <c r="W36" s="93" t="s">
        <v>734</v>
      </c>
      <c r="X36" s="14">
        <f>O22</f>
        <v>9.15</v>
      </c>
      <c r="Y36" s="283">
        <f t="shared" si="0"/>
        <v>13.999999999999998</v>
      </c>
      <c r="Z36" s="14">
        <f>P22</f>
        <v>7.65</v>
      </c>
      <c r="AA36" s="283">
        <f t="shared" si="1"/>
        <v>18.999999999999993</v>
      </c>
      <c r="AB36" s="69">
        <f>Table35155053537[[#This Row],[Floor4]]+Table35155053537[[#This Row],[Vault6]]</f>
        <v>16.8</v>
      </c>
      <c r="AC36" s="283">
        <f t="shared" si="2"/>
        <v>22.999999999999996</v>
      </c>
    </row>
    <row r="37" spans="1:29">
      <c r="A37" s="267"/>
      <c r="B37" s="147"/>
      <c r="C37" s="267"/>
      <c r="D37" s="84"/>
      <c r="E37" s="85"/>
      <c r="F37" s="8"/>
      <c r="G37" s="8"/>
      <c r="H37" s="360" t="s">
        <v>37</v>
      </c>
      <c r="I37" s="8"/>
      <c r="J37" s="18"/>
      <c r="K37" s="22"/>
      <c r="L37" s="8"/>
      <c r="M37" s="8"/>
      <c r="N37" s="360" t="s">
        <v>37</v>
      </c>
      <c r="O37" s="8"/>
      <c r="P37" s="18"/>
      <c r="Q37" s="22"/>
      <c r="U37" s="33" t="s">
        <v>706</v>
      </c>
      <c r="V37" s="150">
        <v>591</v>
      </c>
      <c r="W37" s="93" t="s">
        <v>291</v>
      </c>
      <c r="X37" s="14">
        <f>O24</f>
        <v>9.0500000000000007</v>
      </c>
      <c r="Y37" s="283">
        <f t="shared" si="0"/>
        <v>16</v>
      </c>
      <c r="Z37" s="14">
        <f>P24</f>
        <v>7.5</v>
      </c>
      <c r="AA37" s="283">
        <f t="shared" si="1"/>
        <v>21.999999999999993</v>
      </c>
      <c r="AB37" s="69">
        <f>Table35155053537[[#This Row],[Floor4]]+Table35155053537[[#This Row],[Vault6]]</f>
        <v>16.55</v>
      </c>
      <c r="AC37" s="283">
        <f t="shared" si="2"/>
        <v>27.999999999999996</v>
      </c>
    </row>
    <row r="38" spans="1:29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U38" s="33" t="s">
        <v>706</v>
      </c>
      <c r="V38" s="150">
        <v>594</v>
      </c>
      <c r="W38" s="93" t="s">
        <v>466</v>
      </c>
      <c r="X38" s="14">
        <f>O19</f>
        <v>9.1</v>
      </c>
      <c r="Y38" s="283">
        <f t="shared" si="0"/>
        <v>15.000000000000002</v>
      </c>
      <c r="Z38" s="14">
        <f>P19</f>
        <v>7.35</v>
      </c>
      <c r="AA38" s="283">
        <f t="shared" si="1"/>
        <v>24.999999999999989</v>
      </c>
      <c r="AB38" s="69">
        <f>Table35155053537[[#This Row],[Floor4]]+Table35155053537[[#This Row],[Vault6]]</f>
        <v>16.45</v>
      </c>
      <c r="AC38" s="283">
        <f t="shared" si="2"/>
        <v>29.999999999999996</v>
      </c>
    </row>
    <row r="39" spans="1:29">
      <c r="A39" s="348" t="s">
        <v>813</v>
      </c>
      <c r="B39" s="349"/>
      <c r="C39" s="349"/>
      <c r="D39" s="349"/>
      <c r="E39" s="350"/>
      <c r="F39" s="8"/>
      <c r="G39" s="348" t="s">
        <v>157</v>
      </c>
      <c r="H39" s="349"/>
      <c r="I39" s="349"/>
      <c r="J39" s="349"/>
      <c r="K39" s="350"/>
      <c r="L39" s="8"/>
      <c r="M39" s="348" t="s">
        <v>369</v>
      </c>
      <c r="N39" s="349"/>
      <c r="O39" s="349"/>
      <c r="P39" s="349"/>
      <c r="Q39" s="350"/>
      <c r="U39" s="400" t="s">
        <v>706</v>
      </c>
      <c r="V39" s="408">
        <v>595</v>
      </c>
      <c r="W39" s="397" t="s">
        <v>59</v>
      </c>
      <c r="X39" s="401">
        <f>C33</f>
        <v>0</v>
      </c>
      <c r="Y39" s="402">
        <f t="shared" ref="Y39:Y70" si="21">SUMPRODUCT((X$7:X$139&gt;X39)/COUNTIF(X$7:X$139,X$7:X$139&amp;""))+1</f>
        <v>40.000000000000028</v>
      </c>
      <c r="Z39" s="401">
        <f>D33</f>
        <v>0</v>
      </c>
      <c r="AA39" s="402">
        <f t="shared" ref="AA39:AA70" si="22">SUMPRODUCT((Z$7:Z$139&gt;Z39)/COUNTIF(Z$7:Z$139,Z$7:Z$139&amp;""))+1</f>
        <v>33.999999999999993</v>
      </c>
      <c r="AB39" s="403">
        <f>Table35155053537[[#This Row],[Floor4]]+Table35155053537[[#This Row],[Vault6]]</f>
        <v>0</v>
      </c>
      <c r="AC39" s="402">
        <f t="shared" ref="AC39:AC70" si="23">SUMPRODUCT((AB$7:AB$139&gt;AB39)/COUNTIF(AB$7:AB$139,AB$7:AB$139&amp;""))+1</f>
        <v>53.000000000000007</v>
      </c>
    </row>
    <row r="40" spans="1:29">
      <c r="A40" s="354" t="s">
        <v>1</v>
      </c>
      <c r="B40" s="354" t="s">
        <v>2</v>
      </c>
      <c r="C40" s="354" t="s">
        <v>3</v>
      </c>
      <c r="D40" s="354" t="s">
        <v>4</v>
      </c>
      <c r="E40" s="354" t="s">
        <v>5</v>
      </c>
      <c r="F40" s="8"/>
      <c r="G40" s="354" t="s">
        <v>1</v>
      </c>
      <c r="H40" s="354" t="s">
        <v>2</v>
      </c>
      <c r="I40" s="354" t="s">
        <v>3</v>
      </c>
      <c r="J40" s="354" t="s">
        <v>4</v>
      </c>
      <c r="K40" s="354" t="s">
        <v>5</v>
      </c>
      <c r="L40" s="8"/>
      <c r="M40" s="354" t="s">
        <v>1</v>
      </c>
      <c r="N40" s="354" t="s">
        <v>2</v>
      </c>
      <c r="O40" s="354" t="s">
        <v>3</v>
      </c>
      <c r="P40" s="354" t="s">
        <v>4</v>
      </c>
      <c r="Q40" s="354" t="s">
        <v>5</v>
      </c>
      <c r="U40" s="33" t="s">
        <v>706</v>
      </c>
      <c r="V40" s="150">
        <v>596</v>
      </c>
      <c r="W40" s="93" t="s">
        <v>736</v>
      </c>
      <c r="X40" s="14">
        <f>O23</f>
        <v>9.4</v>
      </c>
      <c r="Y40" s="283">
        <f t="shared" si="21"/>
        <v>9</v>
      </c>
      <c r="Z40" s="14">
        <f>P23</f>
        <v>7.3</v>
      </c>
      <c r="AA40" s="283">
        <f t="shared" si="22"/>
        <v>25.999999999999986</v>
      </c>
      <c r="AB40" s="69">
        <f>Table35155053537[[#This Row],[Floor4]]+Table35155053537[[#This Row],[Vault6]]</f>
        <v>16.7</v>
      </c>
      <c r="AC40" s="283">
        <f t="shared" si="23"/>
        <v>24.999999999999996</v>
      </c>
    </row>
    <row r="41" spans="1:29">
      <c r="A41" s="150">
        <v>610</v>
      </c>
      <c r="B41" s="95" t="s">
        <v>346</v>
      </c>
      <c r="C41" s="14">
        <v>9.15</v>
      </c>
      <c r="D41" s="14">
        <v>8.3000000000000007</v>
      </c>
      <c r="E41" s="14">
        <f>SUM(C41,D41)</f>
        <v>17.450000000000003</v>
      </c>
      <c r="F41" s="8"/>
      <c r="G41" s="150">
        <v>616</v>
      </c>
      <c r="H41" s="95" t="s">
        <v>840</v>
      </c>
      <c r="I41" s="14">
        <v>9.5</v>
      </c>
      <c r="J41" s="14">
        <v>8.4499999999999993</v>
      </c>
      <c r="K41" s="14">
        <f>SUM(I41,J41)</f>
        <v>17.95</v>
      </c>
      <c r="L41" s="8"/>
      <c r="M41" s="150">
        <v>622</v>
      </c>
      <c r="N41" s="95" t="s">
        <v>364</v>
      </c>
      <c r="O41" s="14">
        <v>9.3000000000000007</v>
      </c>
      <c r="P41" s="14">
        <v>8</v>
      </c>
      <c r="Q41" s="14">
        <f>SUM(O41,P41)</f>
        <v>17.3</v>
      </c>
      <c r="U41" s="400" t="s">
        <v>306</v>
      </c>
      <c r="V41" s="408">
        <v>598</v>
      </c>
      <c r="W41" s="436" t="s">
        <v>793</v>
      </c>
      <c r="X41" s="401">
        <f>I30</f>
        <v>0</v>
      </c>
      <c r="Y41" s="402">
        <f t="shared" si="21"/>
        <v>40.000000000000028</v>
      </c>
      <c r="Z41" s="401">
        <f>J30</f>
        <v>0</v>
      </c>
      <c r="AA41" s="402">
        <f t="shared" si="22"/>
        <v>33.999999999999993</v>
      </c>
      <c r="AB41" s="403">
        <f>Table35155053537[[#This Row],[Floor4]]+Table35155053537[[#This Row],[Vault6]]</f>
        <v>0</v>
      </c>
      <c r="AC41" s="402">
        <f t="shared" si="23"/>
        <v>53.000000000000007</v>
      </c>
    </row>
    <row r="42" spans="1:29">
      <c r="A42" s="150">
        <v>611</v>
      </c>
      <c r="B42" s="95" t="s">
        <v>343</v>
      </c>
      <c r="C42" s="14">
        <v>9.1</v>
      </c>
      <c r="D42" s="14">
        <v>7.7</v>
      </c>
      <c r="E42" s="14">
        <f t="shared" ref="E42:E46" si="24">SUM(C42,D42)</f>
        <v>16.8</v>
      </c>
      <c r="F42" s="8"/>
      <c r="G42" s="150">
        <v>617</v>
      </c>
      <c r="H42" s="95" t="s">
        <v>841</v>
      </c>
      <c r="I42" s="14">
        <v>9.15</v>
      </c>
      <c r="J42" s="14">
        <v>8.1</v>
      </c>
      <c r="K42" s="14">
        <f t="shared" ref="K42:K46" si="25">SUM(I42,J42)</f>
        <v>17.25</v>
      </c>
      <c r="L42" s="8"/>
      <c r="M42" s="150">
        <v>623</v>
      </c>
      <c r="N42" s="95" t="s">
        <v>876</v>
      </c>
      <c r="O42" s="14">
        <v>9.35</v>
      </c>
      <c r="P42" s="14">
        <v>7.65</v>
      </c>
      <c r="Q42" s="14">
        <f t="shared" ref="Q42:Q46" si="26">SUM(O42,P42)</f>
        <v>17</v>
      </c>
      <c r="U42" s="33" t="s">
        <v>306</v>
      </c>
      <c r="V42" s="150">
        <v>599</v>
      </c>
      <c r="W42" s="93" t="s">
        <v>794</v>
      </c>
      <c r="X42" s="14">
        <f>I31</f>
        <v>9.1</v>
      </c>
      <c r="Y42" s="283">
        <f t="shared" si="21"/>
        <v>15.000000000000002</v>
      </c>
      <c r="Z42" s="14">
        <f>J31</f>
        <v>7.6</v>
      </c>
      <c r="AA42" s="283">
        <f t="shared" si="22"/>
        <v>19.999999999999993</v>
      </c>
      <c r="AB42" s="69">
        <f>Table35155053537[[#This Row],[Floor4]]+Table35155053537[[#This Row],[Vault6]]</f>
        <v>16.7</v>
      </c>
      <c r="AC42" s="283">
        <f t="shared" si="23"/>
        <v>24.999999999999996</v>
      </c>
    </row>
    <row r="43" spans="1:29">
      <c r="A43" s="150">
        <v>612</v>
      </c>
      <c r="B43" s="95" t="s">
        <v>357</v>
      </c>
      <c r="C43" s="14">
        <v>9.5</v>
      </c>
      <c r="D43" s="14">
        <v>7.85</v>
      </c>
      <c r="E43" s="14">
        <f t="shared" si="24"/>
        <v>17.350000000000001</v>
      </c>
      <c r="F43" s="8"/>
      <c r="G43" s="150">
        <v>618</v>
      </c>
      <c r="H43" s="95" t="s">
        <v>103</v>
      </c>
      <c r="I43" s="14">
        <v>9.6</v>
      </c>
      <c r="J43" s="14">
        <v>8.5</v>
      </c>
      <c r="K43" s="14">
        <f t="shared" si="25"/>
        <v>18.100000000000001</v>
      </c>
      <c r="L43" s="8"/>
      <c r="M43" s="150">
        <v>624</v>
      </c>
      <c r="N43" s="95" t="s">
        <v>162</v>
      </c>
      <c r="O43" s="14">
        <v>10</v>
      </c>
      <c r="P43" s="14">
        <v>8</v>
      </c>
      <c r="Q43" s="14">
        <f t="shared" si="26"/>
        <v>18</v>
      </c>
      <c r="U43" s="33" t="s">
        <v>306</v>
      </c>
      <c r="V43" s="150">
        <v>600</v>
      </c>
      <c r="W43" s="93" t="s">
        <v>795</v>
      </c>
      <c r="X43" s="14">
        <f>I32</f>
        <v>9.15</v>
      </c>
      <c r="Y43" s="283">
        <f t="shared" si="21"/>
        <v>13.999999999999998</v>
      </c>
      <c r="Z43" s="14">
        <f>J32</f>
        <v>7.5</v>
      </c>
      <c r="AA43" s="283">
        <f t="shared" si="22"/>
        <v>21.999999999999993</v>
      </c>
      <c r="AB43" s="69">
        <f>Table35155053537[[#This Row],[Floor4]]+Table35155053537[[#This Row],[Vault6]]</f>
        <v>16.649999999999999</v>
      </c>
      <c r="AC43" s="283">
        <f t="shared" si="23"/>
        <v>25.999999999999993</v>
      </c>
    </row>
    <row r="44" spans="1:29">
      <c r="A44" s="150">
        <v>613</v>
      </c>
      <c r="B44" s="95" t="s">
        <v>344</v>
      </c>
      <c r="C44" s="14">
        <v>9.1</v>
      </c>
      <c r="D44" s="14">
        <v>7.7</v>
      </c>
      <c r="E44" s="14">
        <f t="shared" si="24"/>
        <v>16.8</v>
      </c>
      <c r="F44" s="8"/>
      <c r="G44" s="150">
        <v>619</v>
      </c>
      <c r="H44" s="95" t="s">
        <v>158</v>
      </c>
      <c r="I44" s="14">
        <v>9.4</v>
      </c>
      <c r="J44" s="14">
        <v>8.25</v>
      </c>
      <c r="K44" s="14">
        <f t="shared" si="25"/>
        <v>17.649999999999999</v>
      </c>
      <c r="L44" s="8"/>
      <c r="M44" s="150">
        <v>625</v>
      </c>
      <c r="N44" s="95" t="s">
        <v>877</v>
      </c>
      <c r="O44" s="14">
        <v>8.4</v>
      </c>
      <c r="P44" s="14">
        <v>7.95</v>
      </c>
      <c r="Q44" s="14">
        <f t="shared" si="26"/>
        <v>16.350000000000001</v>
      </c>
      <c r="U44" s="33" t="s">
        <v>306</v>
      </c>
      <c r="V44" s="150">
        <v>601</v>
      </c>
      <c r="W44" s="93" t="s">
        <v>312</v>
      </c>
      <c r="X44" s="14">
        <f>I33</f>
        <v>9.15</v>
      </c>
      <c r="Y44" s="283">
        <f t="shared" si="21"/>
        <v>13.999999999999998</v>
      </c>
      <c r="Z44" s="14">
        <f>J33</f>
        <v>8.1</v>
      </c>
      <c r="AA44" s="283">
        <f t="shared" si="22"/>
        <v>9.0000000000000018</v>
      </c>
      <c r="AB44" s="69">
        <f>Table35155053537[[#This Row],[Floor4]]+Table35155053537[[#This Row],[Vault6]]</f>
        <v>17.25</v>
      </c>
      <c r="AC44" s="283">
        <f t="shared" si="23"/>
        <v>16</v>
      </c>
    </row>
    <row r="45" spans="1:29">
      <c r="A45" s="150">
        <v>614</v>
      </c>
      <c r="B45" s="95" t="s">
        <v>814</v>
      </c>
      <c r="C45" s="14">
        <v>9.35</v>
      </c>
      <c r="D45" s="14">
        <v>8.1</v>
      </c>
      <c r="E45" s="14">
        <f t="shared" si="24"/>
        <v>17.45</v>
      </c>
      <c r="F45" s="8"/>
      <c r="G45" s="150">
        <v>620</v>
      </c>
      <c r="H45" s="359"/>
      <c r="I45" s="14">
        <v>0</v>
      </c>
      <c r="J45" s="14">
        <v>0</v>
      </c>
      <c r="K45" s="14">
        <f t="shared" si="25"/>
        <v>0</v>
      </c>
      <c r="L45" s="8"/>
      <c r="M45" s="150">
        <v>626</v>
      </c>
      <c r="N45" s="377" t="s">
        <v>878</v>
      </c>
      <c r="O45" s="14">
        <v>9.6</v>
      </c>
      <c r="P45" s="14">
        <v>8.1999999999999993</v>
      </c>
      <c r="Q45" s="14">
        <f t="shared" si="26"/>
        <v>17.799999999999997</v>
      </c>
      <c r="U45" s="33" t="s">
        <v>306</v>
      </c>
      <c r="V45" s="150">
        <v>602</v>
      </c>
      <c r="W45" s="93" t="s">
        <v>796</v>
      </c>
      <c r="X45" s="14">
        <f>I34</f>
        <v>9</v>
      </c>
      <c r="Y45" s="283">
        <f t="shared" si="21"/>
        <v>17.000000000000004</v>
      </c>
      <c r="Z45" s="14">
        <f>J34</f>
        <v>7.5</v>
      </c>
      <c r="AA45" s="283">
        <f t="shared" si="22"/>
        <v>21.999999999999993</v>
      </c>
      <c r="AB45" s="69">
        <f>Table35155053537[[#This Row],[Floor4]]+Table35155053537[[#This Row],[Vault6]]</f>
        <v>16.5</v>
      </c>
      <c r="AC45" s="283">
        <f t="shared" si="23"/>
        <v>28.999999999999996</v>
      </c>
    </row>
    <row r="46" spans="1:29" ht="16.5" thickBot="1">
      <c r="A46" s="150">
        <v>615</v>
      </c>
      <c r="B46" s="359"/>
      <c r="C46" s="14">
        <v>0</v>
      </c>
      <c r="D46" s="14">
        <v>0</v>
      </c>
      <c r="E46" s="14">
        <f t="shared" si="24"/>
        <v>0</v>
      </c>
      <c r="F46" s="8"/>
      <c r="G46" s="150">
        <v>621</v>
      </c>
      <c r="H46" s="359"/>
      <c r="I46" s="14">
        <v>0</v>
      </c>
      <c r="J46" s="14">
        <v>0</v>
      </c>
      <c r="K46" s="14">
        <f t="shared" si="25"/>
        <v>0</v>
      </c>
      <c r="L46" s="8"/>
      <c r="M46" s="366">
        <v>627</v>
      </c>
      <c r="N46" s="237" t="s">
        <v>1357</v>
      </c>
      <c r="O46" s="378">
        <v>8.5500000000000007</v>
      </c>
      <c r="P46" s="14">
        <v>7.6</v>
      </c>
      <c r="Q46" s="14">
        <f t="shared" si="26"/>
        <v>16.149999999999999</v>
      </c>
      <c r="U46" s="33" t="s">
        <v>799</v>
      </c>
      <c r="V46" s="150">
        <v>604</v>
      </c>
      <c r="W46" s="93" t="s">
        <v>340</v>
      </c>
      <c r="X46" s="14">
        <f>O30</f>
        <v>8.75</v>
      </c>
      <c r="Y46" s="283">
        <f t="shared" si="21"/>
        <v>22.999999999999993</v>
      </c>
      <c r="Z46" s="14">
        <f>P30</f>
        <v>7.8</v>
      </c>
      <c r="AA46" s="283">
        <f t="shared" si="22"/>
        <v>14.999999999999991</v>
      </c>
      <c r="AB46" s="69">
        <f>Table35155053537[[#This Row],[Floor4]]+Table35155053537[[#This Row],[Vault6]]</f>
        <v>16.55</v>
      </c>
      <c r="AC46" s="283">
        <f t="shared" si="23"/>
        <v>27.999999999999996</v>
      </c>
    </row>
    <row r="47" spans="1:29" ht="16.5" thickBot="1">
      <c r="A47" s="8"/>
      <c r="B47" s="18" t="s">
        <v>10</v>
      </c>
      <c r="C47" s="19">
        <f>SUM(C41:C46)-SMALL(C41:C46,1)-SMALL(C41:C46,2)</f>
        <v>37.1</v>
      </c>
      <c r="D47" s="19">
        <f>SUM(D41:D46)-SMALL(D41:D46,1)-SMALL(D41:D46,2)</f>
        <v>31.95</v>
      </c>
      <c r="E47" s="20">
        <f>SUM(C47:D47)</f>
        <v>69.05</v>
      </c>
      <c r="F47" s="8"/>
      <c r="G47" s="8"/>
      <c r="H47" s="18" t="s">
        <v>10</v>
      </c>
      <c r="I47" s="19">
        <f>SUM(I41:I46)-SMALL(I41:I46,1)-SMALL(I41:I46,2)</f>
        <v>37.65</v>
      </c>
      <c r="J47" s="19">
        <f>SUM(J41:J46)-SMALL(J41:J46,1)-SMALL(J41:J46,2)</f>
        <v>33.299999999999997</v>
      </c>
      <c r="K47" s="20">
        <f>SUM(I47:J47)</f>
        <v>70.949999999999989</v>
      </c>
      <c r="L47" s="8"/>
      <c r="M47" s="8"/>
      <c r="N47" s="18" t="s">
        <v>10</v>
      </c>
      <c r="O47" s="19">
        <f>SUM(O41:O46)-SMALL(O41:O46,1)-SMALL(O41:O46,2)</f>
        <v>38.25</v>
      </c>
      <c r="P47" s="19">
        <f>SUM(P41:P46)-SMALL(P41:P46,1)-SMALL(P41:P46,2)</f>
        <v>32.15</v>
      </c>
      <c r="Q47" s="20">
        <f>SUM(O47:P47)</f>
        <v>70.400000000000006</v>
      </c>
      <c r="U47" s="33" t="s">
        <v>799</v>
      </c>
      <c r="V47" s="150">
        <v>605</v>
      </c>
      <c r="W47" s="93" t="s">
        <v>336</v>
      </c>
      <c r="X47" s="14">
        <f>O31</f>
        <v>9.0500000000000007</v>
      </c>
      <c r="Y47" s="283">
        <f t="shared" si="21"/>
        <v>16</v>
      </c>
      <c r="Z47" s="14">
        <f>P31</f>
        <v>7</v>
      </c>
      <c r="AA47" s="283">
        <f t="shared" si="22"/>
        <v>29.999999999999989</v>
      </c>
      <c r="AB47" s="69">
        <f>Table35155053537[[#This Row],[Floor4]]+Table35155053537[[#This Row],[Vault6]]</f>
        <v>16.05</v>
      </c>
      <c r="AC47" s="283">
        <f t="shared" si="23"/>
        <v>37</v>
      </c>
    </row>
    <row r="48" spans="1:29">
      <c r="A48" s="8"/>
      <c r="B48" s="360" t="s">
        <v>37</v>
      </c>
      <c r="C48" s="8"/>
      <c r="D48" s="18"/>
      <c r="E48" s="22"/>
      <c r="F48" s="8"/>
      <c r="G48" s="8"/>
      <c r="H48" s="360" t="s">
        <v>37</v>
      </c>
      <c r="I48" s="8"/>
      <c r="J48" s="18"/>
      <c r="K48" s="22"/>
      <c r="L48" s="8"/>
      <c r="M48" s="8"/>
      <c r="N48" s="360" t="s">
        <v>37</v>
      </c>
      <c r="O48" s="8"/>
      <c r="P48" s="18"/>
      <c r="Q48" s="22"/>
      <c r="U48" s="33" t="s">
        <v>799</v>
      </c>
      <c r="V48" s="150">
        <v>606</v>
      </c>
      <c r="W48" s="93" t="s">
        <v>349</v>
      </c>
      <c r="X48" s="14">
        <f>O32</f>
        <v>8.5500000000000007</v>
      </c>
      <c r="Y48" s="283">
        <f t="shared" si="21"/>
        <v>25.999999999999989</v>
      </c>
      <c r="Z48" s="14">
        <f>P32</f>
        <v>8</v>
      </c>
      <c r="AA48" s="283">
        <f t="shared" si="22"/>
        <v>11</v>
      </c>
      <c r="AB48" s="69">
        <f>Table35155053537[[#This Row],[Floor4]]+Table35155053537[[#This Row],[Vault6]]</f>
        <v>16.55</v>
      </c>
      <c r="AC48" s="283">
        <f t="shared" si="23"/>
        <v>27.999999999999996</v>
      </c>
    </row>
    <row r="49" spans="1:2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U49" s="33" t="s">
        <v>799</v>
      </c>
      <c r="V49" s="150">
        <v>607</v>
      </c>
      <c r="W49" s="93" t="s">
        <v>341</v>
      </c>
      <c r="X49" s="14">
        <f>O33</f>
        <v>8.9499999999999993</v>
      </c>
      <c r="Y49" s="283">
        <f t="shared" si="21"/>
        <v>17.999999999999996</v>
      </c>
      <c r="Z49" s="14">
        <f>P33</f>
        <v>7.75</v>
      </c>
      <c r="AA49" s="283">
        <f t="shared" si="22"/>
        <v>16.999999999999989</v>
      </c>
      <c r="AB49" s="69">
        <f>Table35155053537[[#This Row],[Floor4]]+Table35155053537[[#This Row],[Vault6]]</f>
        <v>16.7</v>
      </c>
      <c r="AC49" s="283">
        <f t="shared" si="23"/>
        <v>24.999999999999996</v>
      </c>
    </row>
    <row r="50" spans="1:29">
      <c r="A50" s="348" t="s">
        <v>937</v>
      </c>
      <c r="B50" s="349"/>
      <c r="C50" s="349"/>
      <c r="D50" s="349"/>
      <c r="E50" s="350"/>
      <c r="F50" s="8"/>
      <c r="G50" s="348" t="s">
        <v>938</v>
      </c>
      <c r="H50" s="349"/>
      <c r="I50" s="349"/>
      <c r="J50" s="349"/>
      <c r="K50" s="350"/>
      <c r="L50" s="8"/>
      <c r="M50" s="171" t="s">
        <v>954</v>
      </c>
      <c r="N50" s="349"/>
      <c r="O50" s="349"/>
      <c r="P50" s="349"/>
      <c r="Q50" s="350"/>
      <c r="U50" s="33" t="s">
        <v>799</v>
      </c>
      <c r="V50" s="150">
        <v>608</v>
      </c>
      <c r="W50" s="93" t="s">
        <v>466</v>
      </c>
      <c r="X50" s="14">
        <f>O34</f>
        <v>9</v>
      </c>
      <c r="Y50" s="283">
        <f t="shared" si="21"/>
        <v>17.000000000000004</v>
      </c>
      <c r="Z50" s="14">
        <f>P34</f>
        <v>7.75</v>
      </c>
      <c r="AA50" s="283">
        <f t="shared" si="22"/>
        <v>16.999999999999989</v>
      </c>
      <c r="AB50" s="69">
        <f>Table35155053537[[#This Row],[Floor4]]+Table35155053537[[#This Row],[Vault6]]</f>
        <v>16.75</v>
      </c>
      <c r="AC50" s="283">
        <f t="shared" si="23"/>
        <v>23.999999999999996</v>
      </c>
    </row>
    <row r="51" spans="1:29">
      <c r="A51" s="354" t="s">
        <v>1</v>
      </c>
      <c r="B51" s="354" t="s">
        <v>2</v>
      </c>
      <c r="C51" s="354" t="s">
        <v>3</v>
      </c>
      <c r="D51" s="354" t="s">
        <v>4</v>
      </c>
      <c r="E51" s="354" t="s">
        <v>5</v>
      </c>
      <c r="F51" s="8"/>
      <c r="G51" s="354" t="s">
        <v>1</v>
      </c>
      <c r="H51" s="354" t="s">
        <v>2</v>
      </c>
      <c r="I51" s="354" t="s">
        <v>3</v>
      </c>
      <c r="J51" s="354" t="s">
        <v>4</v>
      </c>
      <c r="K51" s="354" t="s">
        <v>5</v>
      </c>
      <c r="L51" s="8"/>
      <c r="M51" s="354" t="s">
        <v>1</v>
      </c>
      <c r="N51" s="354" t="s">
        <v>2</v>
      </c>
      <c r="O51" s="354" t="s">
        <v>3</v>
      </c>
      <c r="P51" s="354" t="s">
        <v>4</v>
      </c>
      <c r="Q51" s="354" t="s">
        <v>5</v>
      </c>
      <c r="U51" s="33" t="s">
        <v>799</v>
      </c>
      <c r="V51" s="150">
        <v>610</v>
      </c>
      <c r="W51" s="93" t="s">
        <v>346</v>
      </c>
      <c r="X51" s="14">
        <f>C41</f>
        <v>9.15</v>
      </c>
      <c r="Y51" s="283">
        <f t="shared" si="21"/>
        <v>13.999999999999998</v>
      </c>
      <c r="Z51" s="14">
        <f>D41</f>
        <v>8.3000000000000007</v>
      </c>
      <c r="AA51" s="283">
        <f t="shared" si="22"/>
        <v>5.0000000000000009</v>
      </c>
      <c r="AB51" s="69">
        <f>Table35155053537[[#This Row],[Floor4]]+Table35155053537[[#This Row],[Vault6]]</f>
        <v>17.450000000000003</v>
      </c>
      <c r="AC51" s="283">
        <f t="shared" si="23"/>
        <v>12</v>
      </c>
    </row>
    <row r="52" spans="1:29">
      <c r="A52" s="408">
        <v>628</v>
      </c>
      <c r="B52" s="410" t="s">
        <v>929</v>
      </c>
      <c r="C52" s="401">
        <v>0</v>
      </c>
      <c r="D52" s="401">
        <v>0</v>
      </c>
      <c r="E52" s="401">
        <f>SUM(C52,D52)</f>
        <v>0</v>
      </c>
      <c r="F52" s="8"/>
      <c r="G52" s="150">
        <v>634</v>
      </c>
      <c r="H52" s="16" t="s">
        <v>933</v>
      </c>
      <c r="I52" s="14">
        <v>9.75</v>
      </c>
      <c r="J52" s="14">
        <v>7.75</v>
      </c>
      <c r="K52" s="14">
        <f>SUM(I52,J52)</f>
        <v>17.5</v>
      </c>
      <c r="L52" s="8"/>
      <c r="M52" s="150">
        <v>640</v>
      </c>
      <c r="N52" s="95" t="s">
        <v>955</v>
      </c>
      <c r="O52" s="14">
        <v>8.5500000000000007</v>
      </c>
      <c r="P52" s="14">
        <v>8.1</v>
      </c>
      <c r="Q52" s="14">
        <f>SUM(O52,P52)</f>
        <v>16.649999999999999</v>
      </c>
      <c r="U52" s="33" t="s">
        <v>799</v>
      </c>
      <c r="V52" s="150">
        <v>611</v>
      </c>
      <c r="W52" s="93" t="s">
        <v>343</v>
      </c>
      <c r="X52" s="14">
        <f>C42</f>
        <v>9.1</v>
      </c>
      <c r="Y52" s="283">
        <f t="shared" si="21"/>
        <v>15.000000000000002</v>
      </c>
      <c r="Z52" s="14">
        <f>D42</f>
        <v>7.7</v>
      </c>
      <c r="AA52" s="283">
        <f t="shared" si="22"/>
        <v>17.999999999999993</v>
      </c>
      <c r="AB52" s="69">
        <f>Table35155053537[[#This Row],[Floor4]]+Table35155053537[[#This Row],[Vault6]]</f>
        <v>16.8</v>
      </c>
      <c r="AC52" s="283">
        <f t="shared" si="23"/>
        <v>22.999999999999996</v>
      </c>
    </row>
    <row r="53" spans="1:29">
      <c r="A53" s="150">
        <v>629</v>
      </c>
      <c r="B53" s="95" t="s">
        <v>930</v>
      </c>
      <c r="C53" s="14">
        <v>9.4</v>
      </c>
      <c r="D53" s="14">
        <v>8.0500000000000007</v>
      </c>
      <c r="E53" s="14">
        <f t="shared" ref="E53:E57" si="27">SUM(C53,D53)</f>
        <v>17.450000000000003</v>
      </c>
      <c r="F53" s="8"/>
      <c r="G53" s="150">
        <v>635</v>
      </c>
      <c r="H53" s="16" t="s">
        <v>934</v>
      </c>
      <c r="I53" s="14">
        <v>8.6</v>
      </c>
      <c r="J53" s="14">
        <v>7.9</v>
      </c>
      <c r="K53" s="14">
        <f t="shared" ref="K53:K57" si="28">SUM(I53,J53)</f>
        <v>16.5</v>
      </c>
      <c r="L53" s="8"/>
      <c r="M53" s="150">
        <v>641</v>
      </c>
      <c r="N53" s="95" t="s">
        <v>956</v>
      </c>
      <c r="O53" s="14">
        <v>8.4499999999999993</v>
      </c>
      <c r="P53" s="14">
        <v>7</v>
      </c>
      <c r="Q53" s="14">
        <f t="shared" ref="Q53:Q57" si="29">SUM(O53,P53)</f>
        <v>15.45</v>
      </c>
      <c r="U53" s="33" t="s">
        <v>799</v>
      </c>
      <c r="V53" s="150">
        <v>612</v>
      </c>
      <c r="W53" s="93" t="s">
        <v>357</v>
      </c>
      <c r="X53" s="14">
        <f>C43</f>
        <v>9.5</v>
      </c>
      <c r="Y53" s="283">
        <f t="shared" si="21"/>
        <v>7</v>
      </c>
      <c r="Z53" s="14">
        <f>D43</f>
        <v>7.85</v>
      </c>
      <c r="AA53" s="283">
        <f t="shared" si="22"/>
        <v>13.999999999999993</v>
      </c>
      <c r="AB53" s="69">
        <f>Table35155053537[[#This Row],[Floor4]]+Table35155053537[[#This Row],[Vault6]]</f>
        <v>17.350000000000001</v>
      </c>
      <c r="AC53" s="283">
        <f t="shared" si="23"/>
        <v>14</v>
      </c>
    </row>
    <row r="54" spans="1:29">
      <c r="A54" s="150">
        <v>630</v>
      </c>
      <c r="B54" s="95" t="s">
        <v>931</v>
      </c>
      <c r="C54" s="14">
        <v>9.1</v>
      </c>
      <c r="D54" s="14">
        <v>7.8</v>
      </c>
      <c r="E54" s="14">
        <f t="shared" si="27"/>
        <v>16.899999999999999</v>
      </c>
      <c r="F54" s="8"/>
      <c r="G54" s="150">
        <v>636</v>
      </c>
      <c r="H54" s="16" t="s">
        <v>935</v>
      </c>
      <c r="I54" s="14">
        <v>9.1</v>
      </c>
      <c r="J54" s="14">
        <v>7.9</v>
      </c>
      <c r="K54" s="14">
        <f t="shared" si="28"/>
        <v>17</v>
      </c>
      <c r="L54" s="8"/>
      <c r="M54" s="150">
        <v>642</v>
      </c>
      <c r="N54" s="95" t="s">
        <v>376</v>
      </c>
      <c r="O54" s="14">
        <v>9.5</v>
      </c>
      <c r="P54" s="14">
        <v>7.1</v>
      </c>
      <c r="Q54" s="14">
        <f t="shared" si="29"/>
        <v>16.600000000000001</v>
      </c>
      <c r="U54" s="33" t="s">
        <v>799</v>
      </c>
      <c r="V54" s="150">
        <v>613</v>
      </c>
      <c r="W54" s="93" t="s">
        <v>344</v>
      </c>
      <c r="X54" s="14">
        <f>C44</f>
        <v>9.1</v>
      </c>
      <c r="Y54" s="283">
        <f t="shared" si="21"/>
        <v>15.000000000000002</v>
      </c>
      <c r="Z54" s="14">
        <f>D44</f>
        <v>7.7</v>
      </c>
      <c r="AA54" s="283">
        <f t="shared" si="22"/>
        <v>17.999999999999993</v>
      </c>
      <c r="AB54" s="69">
        <f>Table35155053537[[#This Row],[Floor4]]+Table35155053537[[#This Row],[Vault6]]</f>
        <v>16.8</v>
      </c>
      <c r="AC54" s="283">
        <f t="shared" si="23"/>
        <v>22.999999999999996</v>
      </c>
    </row>
    <row r="55" spans="1:29">
      <c r="A55" s="150">
        <v>631</v>
      </c>
      <c r="B55" s="95" t="s">
        <v>932</v>
      </c>
      <c r="C55" s="14">
        <v>9.65</v>
      </c>
      <c r="D55" s="14">
        <v>7</v>
      </c>
      <c r="E55" s="14">
        <f t="shared" si="27"/>
        <v>16.649999999999999</v>
      </c>
      <c r="F55" s="8"/>
      <c r="G55" s="150">
        <v>637</v>
      </c>
      <c r="H55" s="16" t="s">
        <v>936</v>
      </c>
      <c r="I55" s="14">
        <v>8.9</v>
      </c>
      <c r="J55" s="14">
        <v>7.7</v>
      </c>
      <c r="K55" s="14">
        <f t="shared" si="28"/>
        <v>16.600000000000001</v>
      </c>
      <c r="L55" s="8"/>
      <c r="M55" s="150">
        <v>643</v>
      </c>
      <c r="N55" s="95" t="s">
        <v>957</v>
      </c>
      <c r="O55" s="14">
        <v>9.25</v>
      </c>
      <c r="P55" s="14">
        <v>7.65</v>
      </c>
      <c r="Q55" s="14">
        <f t="shared" si="29"/>
        <v>16.899999999999999</v>
      </c>
      <c r="U55" s="33" t="s">
        <v>799</v>
      </c>
      <c r="V55" s="150">
        <v>614</v>
      </c>
      <c r="W55" s="93" t="s">
        <v>814</v>
      </c>
      <c r="X55" s="14">
        <f>C45</f>
        <v>9.35</v>
      </c>
      <c r="Y55" s="283">
        <f t="shared" si="21"/>
        <v>10</v>
      </c>
      <c r="Z55" s="14">
        <f>D45</f>
        <v>8.1</v>
      </c>
      <c r="AA55" s="283">
        <f t="shared" si="22"/>
        <v>9.0000000000000018</v>
      </c>
      <c r="AB55" s="69">
        <f>Table35155053537[[#This Row],[Floor4]]+Table35155053537[[#This Row],[Vault6]]</f>
        <v>17.45</v>
      </c>
      <c r="AC55" s="283">
        <f t="shared" si="23"/>
        <v>12</v>
      </c>
    </row>
    <row r="56" spans="1:29">
      <c r="A56" s="150">
        <v>632</v>
      </c>
      <c r="B56" s="359"/>
      <c r="C56" s="14">
        <v>0</v>
      </c>
      <c r="D56" s="14">
        <v>0</v>
      </c>
      <c r="E56" s="14">
        <f t="shared" si="27"/>
        <v>0</v>
      </c>
      <c r="F56" s="8"/>
      <c r="G56" s="150">
        <v>638</v>
      </c>
      <c r="H56" s="359"/>
      <c r="I56" s="14">
        <v>0</v>
      </c>
      <c r="J56" s="14">
        <v>0</v>
      </c>
      <c r="K56" s="14">
        <f t="shared" si="28"/>
        <v>0</v>
      </c>
      <c r="L56" s="8"/>
      <c r="M56" s="150">
        <v>644</v>
      </c>
      <c r="N56" s="95" t="s">
        <v>958</v>
      </c>
      <c r="O56" s="14">
        <v>9.15</v>
      </c>
      <c r="P56" s="14">
        <v>7.6</v>
      </c>
      <c r="Q56" s="14">
        <f t="shared" si="29"/>
        <v>16.75</v>
      </c>
      <c r="U56" s="33" t="s">
        <v>222</v>
      </c>
      <c r="V56" s="150">
        <v>616</v>
      </c>
      <c r="W56" s="93" t="s">
        <v>840</v>
      </c>
      <c r="X56" s="14">
        <f>I41</f>
        <v>9.5</v>
      </c>
      <c r="Y56" s="283">
        <f t="shared" si="21"/>
        <v>7</v>
      </c>
      <c r="Z56" s="14">
        <f>J41</f>
        <v>8.4499999999999993</v>
      </c>
      <c r="AA56" s="283">
        <f t="shared" si="22"/>
        <v>3</v>
      </c>
      <c r="AB56" s="69">
        <f>Table35155053537[[#This Row],[Floor4]]+Table35155053537[[#This Row],[Vault6]]</f>
        <v>17.95</v>
      </c>
      <c r="AC56" s="283">
        <f t="shared" si="23"/>
        <v>5</v>
      </c>
    </row>
    <row r="57" spans="1:29" ht="16.5" thickBot="1">
      <c r="A57" s="150">
        <v>633</v>
      </c>
      <c r="B57" s="359"/>
      <c r="C57" s="14">
        <v>0</v>
      </c>
      <c r="D57" s="14">
        <v>0</v>
      </c>
      <c r="E57" s="14">
        <f t="shared" si="27"/>
        <v>0</v>
      </c>
      <c r="F57" s="8"/>
      <c r="G57" s="150">
        <v>639</v>
      </c>
      <c r="H57" s="359"/>
      <c r="I57" s="14">
        <v>0</v>
      </c>
      <c r="J57" s="14">
        <v>0</v>
      </c>
      <c r="K57" s="14">
        <f t="shared" si="28"/>
        <v>0</v>
      </c>
      <c r="L57" s="8"/>
      <c r="M57" s="150">
        <v>645</v>
      </c>
      <c r="N57" s="108" t="s">
        <v>959</v>
      </c>
      <c r="O57" s="14">
        <v>8.9499999999999993</v>
      </c>
      <c r="P57" s="14">
        <v>7.7</v>
      </c>
      <c r="Q57" s="14">
        <f t="shared" si="29"/>
        <v>16.649999999999999</v>
      </c>
      <c r="U57" s="33" t="s">
        <v>222</v>
      </c>
      <c r="V57" s="150">
        <v>617</v>
      </c>
      <c r="W57" s="93" t="s">
        <v>841</v>
      </c>
      <c r="X57" s="14">
        <f>I42</f>
        <v>9.15</v>
      </c>
      <c r="Y57" s="283">
        <f t="shared" si="21"/>
        <v>13.999999999999998</v>
      </c>
      <c r="Z57" s="14">
        <f>J42</f>
        <v>8.1</v>
      </c>
      <c r="AA57" s="283">
        <f t="shared" si="22"/>
        <v>9.0000000000000018</v>
      </c>
      <c r="AB57" s="69">
        <f>Table35155053537[[#This Row],[Floor4]]+Table35155053537[[#This Row],[Vault6]]</f>
        <v>17.25</v>
      </c>
      <c r="AC57" s="283">
        <f t="shared" si="23"/>
        <v>16</v>
      </c>
    </row>
    <row r="58" spans="1:29" ht="16.5" thickBot="1">
      <c r="A58" s="8"/>
      <c r="B58" s="18" t="s">
        <v>10</v>
      </c>
      <c r="C58" s="19">
        <f>SUM(C52:C57)-SMALL(C52:C57,1)-SMALL(C52:C57,2)</f>
        <v>28.15</v>
      </c>
      <c r="D58" s="19">
        <f>SUM(D52:D57)-SMALL(D52:D57,1)-SMALL(D52:D57,2)</f>
        <v>22.85</v>
      </c>
      <c r="E58" s="20">
        <f>SUM(C58:D58)</f>
        <v>51</v>
      </c>
      <c r="F58" s="8"/>
      <c r="G58" s="8"/>
      <c r="H58" s="18" t="s">
        <v>10</v>
      </c>
      <c r="I58" s="19">
        <f>SUM(I52:I57)-SMALL(I52:I57,1)-SMALL(I52:I57,2)</f>
        <v>36.35</v>
      </c>
      <c r="J58" s="19">
        <f>SUM(J52:J57)-SMALL(J52:J57,1)-SMALL(J52:J57,2)</f>
        <v>31.25</v>
      </c>
      <c r="K58" s="20">
        <f>SUM(I58:J58)</f>
        <v>67.599999999999994</v>
      </c>
      <c r="L58" s="8"/>
      <c r="M58" s="8"/>
      <c r="N58" s="18" t="s">
        <v>10</v>
      </c>
      <c r="O58" s="19">
        <f>SUM(O52:O57)-SMALL(O52:O57,1)-SMALL(O52:O57,2)</f>
        <v>36.849999999999994</v>
      </c>
      <c r="P58" s="19">
        <f>SUM(P52:P57)-SMALL(P52:P57,1)-SMALL(P52:P57,2)</f>
        <v>31.050000000000004</v>
      </c>
      <c r="Q58" s="20">
        <f>SUM(O58:P58)</f>
        <v>67.900000000000006</v>
      </c>
      <c r="U58" s="33" t="s">
        <v>222</v>
      </c>
      <c r="V58" s="150">
        <v>618</v>
      </c>
      <c r="W58" s="93" t="s">
        <v>103</v>
      </c>
      <c r="X58" s="14">
        <f>I43</f>
        <v>9.6</v>
      </c>
      <c r="Y58" s="283">
        <f t="shared" si="21"/>
        <v>6</v>
      </c>
      <c r="Z58" s="14">
        <f>J43</f>
        <v>8.5</v>
      </c>
      <c r="AA58" s="283">
        <f t="shared" si="22"/>
        <v>2</v>
      </c>
      <c r="AB58" s="69">
        <f>Table35155053537[[#This Row],[Floor4]]+Table35155053537[[#This Row],[Vault6]]</f>
        <v>18.100000000000001</v>
      </c>
      <c r="AC58" s="283">
        <f t="shared" si="23"/>
        <v>2</v>
      </c>
    </row>
    <row r="59" spans="1:29">
      <c r="A59" s="8"/>
      <c r="B59" s="360" t="s">
        <v>37</v>
      </c>
      <c r="C59" s="8"/>
      <c r="D59" s="18"/>
      <c r="E59" s="22"/>
      <c r="F59" s="8"/>
      <c r="G59" s="8"/>
      <c r="H59" s="360" t="s">
        <v>37</v>
      </c>
      <c r="I59" s="8"/>
      <c r="J59" s="18"/>
      <c r="K59" s="22"/>
      <c r="L59" s="8"/>
      <c r="M59" s="8"/>
      <c r="N59" s="360" t="s">
        <v>37</v>
      </c>
      <c r="O59" s="8"/>
      <c r="P59" s="18"/>
      <c r="Q59" s="22"/>
      <c r="U59" s="33" t="s">
        <v>222</v>
      </c>
      <c r="V59" s="150">
        <v>619</v>
      </c>
      <c r="W59" s="93" t="s">
        <v>158</v>
      </c>
      <c r="X59" s="14">
        <f>I44</f>
        <v>9.4</v>
      </c>
      <c r="Y59" s="283">
        <f t="shared" si="21"/>
        <v>9</v>
      </c>
      <c r="Z59" s="14">
        <f>J44</f>
        <v>8.25</v>
      </c>
      <c r="AA59" s="283">
        <f t="shared" si="22"/>
        <v>6.0000000000000009</v>
      </c>
      <c r="AB59" s="69">
        <f>Table35155053537[[#This Row],[Floor4]]+Table35155053537[[#This Row],[Vault6]]</f>
        <v>17.649999999999999</v>
      </c>
      <c r="AC59" s="283">
        <f t="shared" si="23"/>
        <v>10</v>
      </c>
    </row>
    <row r="60" spans="1:29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U60" s="33" t="s">
        <v>99</v>
      </c>
      <c r="V60" s="150">
        <v>622</v>
      </c>
      <c r="W60" s="93" t="s">
        <v>364</v>
      </c>
      <c r="X60" s="14">
        <f t="shared" ref="X60:X65" si="30">O41</f>
        <v>9.3000000000000007</v>
      </c>
      <c r="Y60" s="283">
        <f t="shared" si="21"/>
        <v>11</v>
      </c>
      <c r="Z60" s="14">
        <f t="shared" ref="Z60:Z65" si="31">P41</f>
        <v>8</v>
      </c>
      <c r="AA60" s="283">
        <f t="shared" si="22"/>
        <v>11</v>
      </c>
      <c r="AB60" s="69">
        <f>Table35155053537[[#This Row],[Floor4]]+Table35155053537[[#This Row],[Vault6]]</f>
        <v>17.3</v>
      </c>
      <c r="AC60" s="283">
        <f t="shared" si="23"/>
        <v>15</v>
      </c>
    </row>
    <row r="61" spans="1:29">
      <c r="A61" s="171" t="s">
        <v>953</v>
      </c>
      <c r="B61" s="349"/>
      <c r="C61" s="349"/>
      <c r="D61" s="349"/>
      <c r="E61" s="350"/>
      <c r="F61" s="8"/>
      <c r="G61" s="146" t="s">
        <v>555</v>
      </c>
      <c r="H61" s="349"/>
      <c r="I61" s="349"/>
      <c r="J61" s="349"/>
      <c r="K61" s="350"/>
      <c r="L61" s="8"/>
      <c r="M61" s="348" t="s">
        <v>415</v>
      </c>
      <c r="N61" s="349"/>
      <c r="O61" s="349"/>
      <c r="P61" s="349"/>
      <c r="Q61" s="350"/>
      <c r="U61" s="33" t="s">
        <v>99</v>
      </c>
      <c r="V61" s="150">
        <v>623</v>
      </c>
      <c r="W61" s="93" t="s">
        <v>876</v>
      </c>
      <c r="X61" s="14">
        <f t="shared" si="30"/>
        <v>9.35</v>
      </c>
      <c r="Y61" s="283">
        <f t="shared" si="21"/>
        <v>10</v>
      </c>
      <c r="Z61" s="14">
        <f t="shared" si="31"/>
        <v>7.65</v>
      </c>
      <c r="AA61" s="283">
        <f t="shared" si="22"/>
        <v>18.999999999999993</v>
      </c>
      <c r="AB61" s="69">
        <f>Table35155053537[[#This Row],[Floor4]]+Table35155053537[[#This Row],[Vault6]]</f>
        <v>17</v>
      </c>
      <c r="AC61" s="283">
        <f t="shared" si="23"/>
        <v>19.999999999999996</v>
      </c>
    </row>
    <row r="62" spans="1:29">
      <c r="A62" s="354" t="s">
        <v>1</v>
      </c>
      <c r="B62" s="354" t="s">
        <v>2</v>
      </c>
      <c r="C62" s="354" t="s">
        <v>3</v>
      </c>
      <c r="D62" s="354" t="s">
        <v>4</v>
      </c>
      <c r="E62" s="354" t="s">
        <v>5</v>
      </c>
      <c r="F62" s="8"/>
      <c r="G62" s="354" t="s">
        <v>1</v>
      </c>
      <c r="H62" s="354" t="s">
        <v>2</v>
      </c>
      <c r="I62" s="354" t="s">
        <v>3</v>
      </c>
      <c r="J62" s="354" t="s">
        <v>4</v>
      </c>
      <c r="K62" s="354" t="s">
        <v>5</v>
      </c>
      <c r="L62" s="8"/>
      <c r="M62" s="354" t="s">
        <v>1</v>
      </c>
      <c r="N62" s="354" t="s">
        <v>2</v>
      </c>
      <c r="O62" s="354" t="s">
        <v>3</v>
      </c>
      <c r="P62" s="354" t="s">
        <v>4</v>
      </c>
      <c r="Q62" s="354" t="s">
        <v>5</v>
      </c>
      <c r="U62" s="33" t="s">
        <v>99</v>
      </c>
      <c r="V62" s="150">
        <v>624</v>
      </c>
      <c r="W62" s="93" t="s">
        <v>162</v>
      </c>
      <c r="X62" s="14">
        <f t="shared" si="30"/>
        <v>10</v>
      </c>
      <c r="Y62" s="283">
        <f t="shared" si="21"/>
        <v>1</v>
      </c>
      <c r="Z62" s="14">
        <f t="shared" si="31"/>
        <v>8</v>
      </c>
      <c r="AA62" s="283">
        <f t="shared" si="22"/>
        <v>11</v>
      </c>
      <c r="AB62" s="69">
        <f>Table35155053537[[#This Row],[Floor4]]+Table35155053537[[#This Row],[Vault6]]</f>
        <v>18</v>
      </c>
      <c r="AC62" s="283">
        <f t="shared" si="23"/>
        <v>4</v>
      </c>
    </row>
    <row r="63" spans="1:29">
      <c r="A63" s="150">
        <v>646</v>
      </c>
      <c r="B63" s="95" t="s">
        <v>960</v>
      </c>
      <c r="C63" s="14">
        <v>8.8000000000000007</v>
      </c>
      <c r="D63" s="14">
        <v>7.6</v>
      </c>
      <c r="E63" s="14">
        <f>SUM(C63,D63)</f>
        <v>16.399999999999999</v>
      </c>
      <c r="F63" s="8"/>
      <c r="G63" s="150">
        <v>652</v>
      </c>
      <c r="H63" s="95" t="s">
        <v>988</v>
      </c>
      <c r="I63" s="14">
        <v>8.15</v>
      </c>
      <c r="J63" s="14">
        <v>7.7</v>
      </c>
      <c r="K63" s="14">
        <f>SUM(I63,J63)</f>
        <v>15.850000000000001</v>
      </c>
      <c r="L63" s="8"/>
      <c r="M63" s="150">
        <v>658</v>
      </c>
      <c r="N63" s="95" t="s">
        <v>412</v>
      </c>
      <c r="O63" s="14">
        <v>9</v>
      </c>
      <c r="P63" s="14">
        <v>7.9</v>
      </c>
      <c r="Q63" s="14">
        <f>SUM(O63,P63)</f>
        <v>16.899999999999999</v>
      </c>
      <c r="U63" s="33" t="s">
        <v>99</v>
      </c>
      <c r="V63" s="150">
        <v>625</v>
      </c>
      <c r="W63" s="93" t="s">
        <v>877</v>
      </c>
      <c r="X63" s="14">
        <f t="shared" si="30"/>
        <v>8.4</v>
      </c>
      <c r="Y63" s="283">
        <f t="shared" si="21"/>
        <v>28.999999999999989</v>
      </c>
      <c r="Z63" s="14">
        <f t="shared" si="31"/>
        <v>7.95</v>
      </c>
      <c r="AA63" s="283">
        <f t="shared" si="22"/>
        <v>11.999999999999998</v>
      </c>
      <c r="AB63" s="69">
        <f>Table35155053537[[#This Row],[Floor4]]+Table35155053537[[#This Row],[Vault6]]</f>
        <v>16.350000000000001</v>
      </c>
      <c r="AC63" s="283">
        <f t="shared" si="23"/>
        <v>32.999999999999993</v>
      </c>
    </row>
    <row r="64" spans="1:29">
      <c r="A64" s="150">
        <v>647</v>
      </c>
      <c r="B64" s="95" t="s">
        <v>961</v>
      </c>
      <c r="C64" s="14">
        <v>9.25</v>
      </c>
      <c r="D64" s="14">
        <v>8.15</v>
      </c>
      <c r="E64" s="14">
        <f t="shared" ref="E64:E68" si="32">SUM(C64,D64)</f>
        <v>17.399999999999999</v>
      </c>
      <c r="F64" s="8"/>
      <c r="G64" s="150">
        <v>653</v>
      </c>
      <c r="H64" s="95" t="s">
        <v>989</v>
      </c>
      <c r="I64" s="14">
        <v>8.35</v>
      </c>
      <c r="J64" s="14">
        <v>7.75</v>
      </c>
      <c r="K64" s="14">
        <f t="shared" ref="K64:K68" si="33">SUM(I64,J64)</f>
        <v>16.100000000000001</v>
      </c>
      <c r="L64" s="8"/>
      <c r="M64" s="150">
        <v>659</v>
      </c>
      <c r="N64" s="95" t="s">
        <v>400</v>
      </c>
      <c r="O64" s="14">
        <v>10</v>
      </c>
      <c r="P64" s="14">
        <v>8.3000000000000007</v>
      </c>
      <c r="Q64" s="14">
        <f t="shared" ref="Q64:Q68" si="34">SUM(O64,P64)</f>
        <v>18.3</v>
      </c>
      <c r="U64" s="33" t="s">
        <v>99</v>
      </c>
      <c r="V64" s="150">
        <v>626</v>
      </c>
      <c r="W64" s="93" t="s">
        <v>878</v>
      </c>
      <c r="X64" s="14">
        <f t="shared" si="30"/>
        <v>9.6</v>
      </c>
      <c r="Y64" s="283">
        <f t="shared" si="21"/>
        <v>6</v>
      </c>
      <c r="Z64" s="14">
        <f t="shared" si="31"/>
        <v>8.1999999999999993</v>
      </c>
      <c r="AA64" s="283">
        <f t="shared" si="22"/>
        <v>7.0000000000000009</v>
      </c>
      <c r="AB64" s="69">
        <f>Table35155053537[[#This Row],[Floor4]]+Table35155053537[[#This Row],[Vault6]]</f>
        <v>17.799999999999997</v>
      </c>
      <c r="AC64" s="283">
        <f t="shared" si="23"/>
        <v>7</v>
      </c>
    </row>
    <row r="65" spans="1:29">
      <c r="A65" s="150">
        <v>648</v>
      </c>
      <c r="B65" s="95" t="s">
        <v>962</v>
      </c>
      <c r="C65" s="14">
        <v>8.3000000000000007</v>
      </c>
      <c r="D65" s="14">
        <v>7.3</v>
      </c>
      <c r="E65" s="14">
        <f t="shared" si="32"/>
        <v>15.600000000000001</v>
      </c>
      <c r="F65" s="8"/>
      <c r="G65" s="150">
        <v>654</v>
      </c>
      <c r="H65" s="95" t="s">
        <v>990</v>
      </c>
      <c r="I65" s="14">
        <v>8.4499999999999993</v>
      </c>
      <c r="J65" s="14">
        <v>7.65</v>
      </c>
      <c r="K65" s="14">
        <f t="shared" si="33"/>
        <v>16.100000000000001</v>
      </c>
      <c r="L65" s="8"/>
      <c r="M65" s="150">
        <v>660</v>
      </c>
      <c r="N65" s="95" t="s">
        <v>1025</v>
      </c>
      <c r="O65" s="14">
        <v>9.1</v>
      </c>
      <c r="P65" s="14">
        <v>7.6</v>
      </c>
      <c r="Q65" s="14">
        <f t="shared" si="34"/>
        <v>16.7</v>
      </c>
      <c r="U65" s="33" t="s">
        <v>99</v>
      </c>
      <c r="V65" s="366">
        <v>627</v>
      </c>
      <c r="W65" s="330" t="s">
        <v>1357</v>
      </c>
      <c r="X65" s="14">
        <f t="shared" si="30"/>
        <v>8.5500000000000007</v>
      </c>
      <c r="Y65" s="283">
        <f t="shared" si="21"/>
        <v>25.999999999999989</v>
      </c>
      <c r="Z65" s="14">
        <f t="shared" si="31"/>
        <v>7.6</v>
      </c>
      <c r="AA65" s="283">
        <f t="shared" si="22"/>
        <v>19.999999999999993</v>
      </c>
      <c r="AB65" s="69">
        <f>Table35155053537[[#This Row],[Floor4]]+Table35155053537[[#This Row],[Vault6]]</f>
        <v>16.149999999999999</v>
      </c>
      <c r="AC65" s="283">
        <f t="shared" si="23"/>
        <v>35</v>
      </c>
    </row>
    <row r="66" spans="1:29">
      <c r="A66" s="150">
        <v>649</v>
      </c>
      <c r="B66" s="95" t="s">
        <v>963</v>
      </c>
      <c r="C66" s="14">
        <v>8.8520000000000003</v>
      </c>
      <c r="D66" s="14">
        <v>7.55</v>
      </c>
      <c r="E66" s="14">
        <f t="shared" si="32"/>
        <v>16.402000000000001</v>
      </c>
      <c r="F66" s="8"/>
      <c r="G66" s="150">
        <v>655</v>
      </c>
      <c r="H66" s="95" t="s">
        <v>991</v>
      </c>
      <c r="I66" s="14">
        <v>8.4</v>
      </c>
      <c r="J66" s="14">
        <v>7.55</v>
      </c>
      <c r="K66" s="14">
        <f t="shared" si="33"/>
        <v>15.95</v>
      </c>
      <c r="L66" s="8"/>
      <c r="M66" s="150">
        <v>661</v>
      </c>
      <c r="N66" s="95" t="s">
        <v>411</v>
      </c>
      <c r="O66" s="14">
        <v>9.3000000000000007</v>
      </c>
      <c r="P66" s="14">
        <v>7.3</v>
      </c>
      <c r="Q66" s="14">
        <f t="shared" si="34"/>
        <v>16.600000000000001</v>
      </c>
      <c r="U66" s="400" t="s">
        <v>917</v>
      </c>
      <c r="V66" s="408">
        <v>628</v>
      </c>
      <c r="W66" s="397" t="s">
        <v>929</v>
      </c>
      <c r="X66" s="401">
        <f>C52</f>
        <v>0</v>
      </c>
      <c r="Y66" s="402">
        <f t="shared" si="21"/>
        <v>40.000000000000028</v>
      </c>
      <c r="Z66" s="401">
        <f>D52</f>
        <v>0</v>
      </c>
      <c r="AA66" s="402">
        <f t="shared" si="22"/>
        <v>33.999999999999993</v>
      </c>
      <c r="AB66" s="403">
        <f>Table35155053537[[#This Row],[Floor4]]+Table35155053537[[#This Row],[Vault6]]</f>
        <v>0</v>
      </c>
      <c r="AC66" s="402">
        <f t="shared" si="23"/>
        <v>53.000000000000007</v>
      </c>
    </row>
    <row r="67" spans="1:29">
      <c r="A67" s="150">
        <v>650</v>
      </c>
      <c r="B67" s="95" t="s">
        <v>964</v>
      </c>
      <c r="C67" s="14">
        <v>8.6</v>
      </c>
      <c r="D67" s="14">
        <v>7.35</v>
      </c>
      <c r="E67" s="14">
        <f t="shared" si="32"/>
        <v>15.95</v>
      </c>
      <c r="F67" s="8"/>
      <c r="G67" s="150">
        <v>656</v>
      </c>
      <c r="H67" s="95" t="s">
        <v>992</v>
      </c>
      <c r="I67" s="14">
        <v>8.3000000000000007</v>
      </c>
      <c r="J67" s="14">
        <v>7.6</v>
      </c>
      <c r="K67" s="14">
        <f t="shared" si="33"/>
        <v>15.9</v>
      </c>
      <c r="L67" s="8"/>
      <c r="M67" s="150">
        <v>662</v>
      </c>
      <c r="N67" s="95" t="s">
        <v>447</v>
      </c>
      <c r="O67" s="14">
        <v>9.15</v>
      </c>
      <c r="P67" s="14">
        <v>8.1</v>
      </c>
      <c r="Q67" s="14">
        <f t="shared" si="34"/>
        <v>17.25</v>
      </c>
      <c r="U67" s="33" t="s">
        <v>917</v>
      </c>
      <c r="V67" s="150">
        <v>629</v>
      </c>
      <c r="W67" s="93" t="s">
        <v>930</v>
      </c>
      <c r="X67" s="14">
        <f>C53</f>
        <v>9.4</v>
      </c>
      <c r="Y67" s="283">
        <f t="shared" si="21"/>
        <v>9</v>
      </c>
      <c r="Z67" s="14">
        <f>D53</f>
        <v>8.0500000000000007</v>
      </c>
      <c r="AA67" s="283">
        <f t="shared" si="22"/>
        <v>10</v>
      </c>
      <c r="AB67" s="69">
        <f>Table35155053537[[#This Row],[Floor4]]+Table35155053537[[#This Row],[Vault6]]</f>
        <v>17.450000000000003</v>
      </c>
      <c r="AC67" s="283">
        <f t="shared" si="23"/>
        <v>12</v>
      </c>
    </row>
    <row r="68" spans="1:29" ht="16.5" thickBot="1">
      <c r="A68" s="150">
        <v>651</v>
      </c>
      <c r="B68" s="359"/>
      <c r="C68" s="14">
        <v>0</v>
      </c>
      <c r="D68" s="14">
        <v>0</v>
      </c>
      <c r="E68" s="14">
        <f t="shared" si="32"/>
        <v>0</v>
      </c>
      <c r="F68" s="8"/>
      <c r="G68" s="150">
        <v>657</v>
      </c>
      <c r="H68" s="359"/>
      <c r="I68" s="14">
        <v>0</v>
      </c>
      <c r="J68" s="14">
        <v>0</v>
      </c>
      <c r="K68" s="14">
        <f t="shared" si="33"/>
        <v>0</v>
      </c>
      <c r="L68" s="8"/>
      <c r="M68" s="150">
        <v>663</v>
      </c>
      <c r="N68" s="359"/>
      <c r="O68" s="14">
        <v>0</v>
      </c>
      <c r="P68" s="14">
        <v>0</v>
      </c>
      <c r="Q68" s="14">
        <f t="shared" si="34"/>
        <v>0</v>
      </c>
      <c r="U68" s="33" t="s">
        <v>917</v>
      </c>
      <c r="V68" s="150">
        <v>630</v>
      </c>
      <c r="W68" s="93" t="s">
        <v>931</v>
      </c>
      <c r="X68" s="14">
        <f>C54</f>
        <v>9.1</v>
      </c>
      <c r="Y68" s="283">
        <f t="shared" si="21"/>
        <v>15.000000000000002</v>
      </c>
      <c r="Z68" s="14">
        <f>D54</f>
        <v>7.8</v>
      </c>
      <c r="AA68" s="283">
        <f t="shared" si="22"/>
        <v>14.999999999999991</v>
      </c>
      <c r="AB68" s="69">
        <f>Table35155053537[[#This Row],[Floor4]]+Table35155053537[[#This Row],[Vault6]]</f>
        <v>16.899999999999999</v>
      </c>
      <c r="AC68" s="283">
        <f t="shared" si="23"/>
        <v>21.999999999999996</v>
      </c>
    </row>
    <row r="69" spans="1:29" ht="16.5" thickBot="1">
      <c r="A69" s="8"/>
      <c r="B69" s="18" t="s">
        <v>10</v>
      </c>
      <c r="C69" s="19">
        <f>SUM(C63:C68)-SMALL(C63:C68,1)-SMALL(C63:C68,2)</f>
        <v>35.501999999999995</v>
      </c>
      <c r="D69" s="19">
        <f>SUM(D63:D68)-SMALL(D63:D68,1)-SMALL(D63:D68,2)</f>
        <v>30.650000000000002</v>
      </c>
      <c r="E69" s="20">
        <f>SUM(C69:D69)</f>
        <v>66.152000000000001</v>
      </c>
      <c r="F69" s="8"/>
      <c r="G69" s="8"/>
      <c r="H69" s="18" t="s">
        <v>10</v>
      </c>
      <c r="I69" s="19">
        <f>SUM(I63:I68)-SMALL(I63:I68,1)-SMALL(I63:I68,2)</f>
        <v>33.500000000000007</v>
      </c>
      <c r="J69" s="19">
        <f>SUM(J63:J68)-SMALL(J63:J68,1)-SMALL(J63:J68,2)</f>
        <v>30.7</v>
      </c>
      <c r="K69" s="20">
        <f>SUM(I69:J69)</f>
        <v>64.2</v>
      </c>
      <c r="L69" s="8"/>
      <c r="M69" s="8"/>
      <c r="N69" s="18" t="s">
        <v>10</v>
      </c>
      <c r="O69" s="19">
        <f>SUM(O63:O68)-SMALL(O63:O68,1)-SMALL(O63:O68,2)</f>
        <v>37.550000000000004</v>
      </c>
      <c r="P69" s="19">
        <f>SUM(P63:P68)-SMALL(P63:P68,1)-SMALL(P63:P68,2)</f>
        <v>31.900000000000002</v>
      </c>
      <c r="Q69" s="20">
        <f>SUM(O69:P69)</f>
        <v>69.45</v>
      </c>
      <c r="U69" s="33" t="s">
        <v>917</v>
      </c>
      <c r="V69" s="150">
        <v>631</v>
      </c>
      <c r="W69" s="93" t="s">
        <v>932</v>
      </c>
      <c r="X69" s="14">
        <f>C55</f>
        <v>9.65</v>
      </c>
      <c r="Y69" s="283">
        <f t="shared" si="21"/>
        <v>5</v>
      </c>
      <c r="Z69" s="14">
        <f>D55</f>
        <v>7</v>
      </c>
      <c r="AA69" s="283">
        <f t="shared" si="22"/>
        <v>29.999999999999989</v>
      </c>
      <c r="AB69" s="69">
        <f>Table35155053537[[#This Row],[Floor4]]+Table35155053537[[#This Row],[Vault6]]</f>
        <v>16.649999999999999</v>
      </c>
      <c r="AC69" s="283">
        <f t="shared" si="23"/>
        <v>25.999999999999993</v>
      </c>
    </row>
    <row r="70" spans="1:29">
      <c r="A70" s="8"/>
      <c r="B70" s="360" t="s">
        <v>37</v>
      </c>
      <c r="C70" s="8"/>
      <c r="D70" s="18"/>
      <c r="E70" s="22"/>
      <c r="F70" s="8"/>
      <c r="G70" s="8"/>
      <c r="H70" s="360" t="s">
        <v>37</v>
      </c>
      <c r="I70" s="8"/>
      <c r="J70" s="18"/>
      <c r="K70" s="22"/>
      <c r="L70" s="8"/>
      <c r="M70" s="8"/>
      <c r="N70" s="360" t="s">
        <v>37</v>
      </c>
      <c r="O70" s="8"/>
      <c r="P70" s="18"/>
      <c r="Q70" s="22"/>
      <c r="U70" s="33" t="s">
        <v>917</v>
      </c>
      <c r="V70" s="150">
        <v>634</v>
      </c>
      <c r="W70" s="16" t="s">
        <v>933</v>
      </c>
      <c r="X70" s="14">
        <f>I52</f>
        <v>9.75</v>
      </c>
      <c r="Y70" s="283">
        <f t="shared" si="21"/>
        <v>4</v>
      </c>
      <c r="Z70" s="14">
        <f>J52</f>
        <v>7.75</v>
      </c>
      <c r="AA70" s="283">
        <f t="shared" si="22"/>
        <v>16.999999999999989</v>
      </c>
      <c r="AB70" s="69">
        <f>Table35155053537[[#This Row],[Floor4]]+Table35155053537[[#This Row],[Vault6]]</f>
        <v>17.5</v>
      </c>
      <c r="AC70" s="283">
        <f t="shared" si="23"/>
        <v>11</v>
      </c>
    </row>
    <row r="71" spans="1:29">
      <c r="A71" s="81"/>
      <c r="B71" s="81"/>
      <c r="C71" s="81"/>
      <c r="D71" s="81"/>
      <c r="E71" s="81"/>
      <c r="F71" s="81"/>
      <c r="G71" s="8"/>
      <c r="H71" s="8"/>
      <c r="I71" s="8"/>
      <c r="J71" s="8"/>
      <c r="K71" s="8"/>
      <c r="L71" s="81"/>
      <c r="M71" s="8"/>
      <c r="N71" s="8"/>
      <c r="O71" s="8"/>
      <c r="P71" s="8"/>
      <c r="Q71" s="8"/>
      <c r="U71" s="33" t="s">
        <v>917</v>
      </c>
      <c r="V71" s="150">
        <v>635</v>
      </c>
      <c r="W71" s="16" t="s">
        <v>934</v>
      </c>
      <c r="X71" s="14">
        <f>I53</f>
        <v>8.6</v>
      </c>
      <c r="Y71" s="283">
        <f t="shared" ref="Y71:Y102" si="35">SUMPRODUCT((X$7:X$139&gt;X71)/COUNTIF(X$7:X$139,X$7:X$139&amp;""))+1</f>
        <v>24.999999999999993</v>
      </c>
      <c r="Z71" s="14">
        <f>J53</f>
        <v>7.9</v>
      </c>
      <c r="AA71" s="283">
        <f t="shared" ref="AA71:AA102" si="36">SUMPRODUCT((Z$7:Z$139&gt;Z71)/COUNTIF(Z$7:Z$139,Z$7:Z$139&amp;""))+1</f>
        <v>12.999999999999993</v>
      </c>
      <c r="AB71" s="69">
        <f>Table35155053537[[#This Row],[Floor4]]+Table35155053537[[#This Row],[Vault6]]</f>
        <v>16.5</v>
      </c>
      <c r="AC71" s="283">
        <f t="shared" ref="AC71:AC102" si="37">SUMPRODUCT((AB$7:AB$139&gt;AB71)/COUNTIF(AB$7:AB$139,AB$7:AB$139&amp;""))+1</f>
        <v>28.999999999999996</v>
      </c>
    </row>
    <row r="72" spans="1:29">
      <c r="A72" s="348" t="s">
        <v>416</v>
      </c>
      <c r="B72" s="349"/>
      <c r="C72" s="349"/>
      <c r="D72" s="349"/>
      <c r="E72" s="350"/>
      <c r="F72" s="81"/>
      <c r="G72" s="348" t="s">
        <v>1047</v>
      </c>
      <c r="H72" s="349"/>
      <c r="I72" s="349"/>
      <c r="J72" s="349"/>
      <c r="K72" s="350"/>
      <c r="L72" s="351"/>
      <c r="M72" s="348" t="s">
        <v>1066</v>
      </c>
      <c r="N72" s="349"/>
      <c r="O72" s="349"/>
      <c r="P72" s="349"/>
      <c r="Q72" s="350"/>
      <c r="R72" s="106"/>
      <c r="S72" s="106"/>
      <c r="U72" s="33" t="s">
        <v>917</v>
      </c>
      <c r="V72" s="150">
        <v>636</v>
      </c>
      <c r="W72" s="16" t="s">
        <v>935</v>
      </c>
      <c r="X72" s="14">
        <f>I54</f>
        <v>9.1</v>
      </c>
      <c r="Y72" s="283">
        <f t="shared" si="35"/>
        <v>15.000000000000002</v>
      </c>
      <c r="Z72" s="14">
        <f>J54</f>
        <v>7.9</v>
      </c>
      <c r="AA72" s="283">
        <f t="shared" si="36"/>
        <v>12.999999999999993</v>
      </c>
      <c r="AB72" s="69">
        <f>Table35155053537[[#This Row],[Floor4]]+Table35155053537[[#This Row],[Vault6]]</f>
        <v>17</v>
      </c>
      <c r="AC72" s="283">
        <f t="shared" si="37"/>
        <v>19.999999999999996</v>
      </c>
    </row>
    <row r="73" spans="1:29">
      <c r="A73" s="354" t="s">
        <v>1</v>
      </c>
      <c r="B73" s="354" t="s">
        <v>2</v>
      </c>
      <c r="C73" s="354" t="s">
        <v>3</v>
      </c>
      <c r="D73" s="354" t="s">
        <v>4</v>
      </c>
      <c r="E73" s="354" t="s">
        <v>5</v>
      </c>
      <c r="F73" s="81"/>
      <c r="G73" s="354" t="s">
        <v>1</v>
      </c>
      <c r="H73" s="354" t="s">
        <v>2</v>
      </c>
      <c r="I73" s="354" t="s">
        <v>3</v>
      </c>
      <c r="J73" s="354" t="s">
        <v>4</v>
      </c>
      <c r="K73" s="354" t="s">
        <v>5</v>
      </c>
      <c r="L73" s="81"/>
      <c r="M73" s="354" t="s">
        <v>1</v>
      </c>
      <c r="N73" s="354" t="s">
        <v>2</v>
      </c>
      <c r="O73" s="354" t="s">
        <v>3</v>
      </c>
      <c r="P73" s="354" t="s">
        <v>4</v>
      </c>
      <c r="Q73" s="354" t="s">
        <v>5</v>
      </c>
      <c r="R73" s="106"/>
      <c r="S73" s="106"/>
      <c r="U73" s="33" t="s">
        <v>917</v>
      </c>
      <c r="V73" s="150">
        <v>637</v>
      </c>
      <c r="W73" s="16" t="s">
        <v>936</v>
      </c>
      <c r="X73" s="14">
        <f>I55</f>
        <v>8.9</v>
      </c>
      <c r="Y73" s="283">
        <f t="shared" si="35"/>
        <v>19</v>
      </c>
      <c r="Z73" s="14">
        <f>J55</f>
        <v>7.7</v>
      </c>
      <c r="AA73" s="283">
        <f t="shared" si="36"/>
        <v>17.999999999999993</v>
      </c>
      <c r="AB73" s="69">
        <f>Table35155053537[[#This Row],[Floor4]]+Table35155053537[[#This Row],[Vault6]]</f>
        <v>16.600000000000001</v>
      </c>
      <c r="AC73" s="283">
        <f t="shared" si="37"/>
        <v>26.999999999999993</v>
      </c>
    </row>
    <row r="74" spans="1:29">
      <c r="A74" s="150">
        <v>664</v>
      </c>
      <c r="B74" s="95" t="s">
        <v>399</v>
      </c>
      <c r="C74" s="14">
        <v>9.0500000000000007</v>
      </c>
      <c r="D74" s="14">
        <v>7.55</v>
      </c>
      <c r="E74" s="14">
        <f>SUM(C74,D74)</f>
        <v>16.600000000000001</v>
      </c>
      <c r="F74" s="81"/>
      <c r="G74" s="150">
        <v>670</v>
      </c>
      <c r="H74" s="95" t="s">
        <v>1050</v>
      </c>
      <c r="I74" s="14">
        <v>9.1999999999999993</v>
      </c>
      <c r="J74" s="14">
        <v>7.55</v>
      </c>
      <c r="K74" s="14">
        <f>SUM(I74,J74)</f>
        <v>16.75</v>
      </c>
      <c r="L74" s="81"/>
      <c r="M74" s="150">
        <v>682</v>
      </c>
      <c r="N74" s="95" t="s">
        <v>1080</v>
      </c>
      <c r="O74" s="14">
        <v>5</v>
      </c>
      <c r="P74" s="14">
        <v>7.4</v>
      </c>
      <c r="Q74" s="14">
        <f>SUM(O74,P74)</f>
        <v>12.4</v>
      </c>
      <c r="R74" s="106"/>
      <c r="S74" s="106"/>
      <c r="U74" s="33" t="s">
        <v>223</v>
      </c>
      <c r="V74" s="150">
        <v>640</v>
      </c>
      <c r="W74" s="93" t="s">
        <v>955</v>
      </c>
      <c r="X74" s="14">
        <f t="shared" ref="X74:X79" si="38">O52</f>
        <v>8.5500000000000007</v>
      </c>
      <c r="Y74" s="283">
        <f t="shared" si="35"/>
        <v>25.999999999999989</v>
      </c>
      <c r="Z74" s="14">
        <f t="shared" ref="Z74:Z79" si="39">P52</f>
        <v>8.1</v>
      </c>
      <c r="AA74" s="283">
        <f t="shared" si="36"/>
        <v>9.0000000000000018</v>
      </c>
      <c r="AB74" s="69">
        <f>Table35155053537[[#This Row],[Floor4]]+Table35155053537[[#This Row],[Vault6]]</f>
        <v>16.649999999999999</v>
      </c>
      <c r="AC74" s="283">
        <f t="shared" si="37"/>
        <v>25.999999999999993</v>
      </c>
    </row>
    <row r="75" spans="1:29">
      <c r="A75" s="150">
        <v>665</v>
      </c>
      <c r="B75" s="95" t="s">
        <v>1026</v>
      </c>
      <c r="C75" s="14">
        <v>9.15</v>
      </c>
      <c r="D75" s="14">
        <v>7.45</v>
      </c>
      <c r="E75" s="14">
        <f t="shared" ref="E75:E79" si="40">SUM(C75,D75)</f>
        <v>16.600000000000001</v>
      </c>
      <c r="F75" s="81"/>
      <c r="G75" s="150">
        <v>671</v>
      </c>
      <c r="H75" s="95" t="s">
        <v>1051</v>
      </c>
      <c r="I75" s="14">
        <v>9.0500000000000007</v>
      </c>
      <c r="J75" s="14">
        <v>7.5</v>
      </c>
      <c r="K75" s="14">
        <f t="shared" ref="K75:K79" si="41">SUM(I75,J75)</f>
        <v>16.55</v>
      </c>
      <c r="L75" s="81"/>
      <c r="M75" s="150">
        <v>683</v>
      </c>
      <c r="N75" s="95" t="s">
        <v>1073</v>
      </c>
      <c r="O75" s="14">
        <v>5</v>
      </c>
      <c r="P75" s="14">
        <v>7.5</v>
      </c>
      <c r="Q75" s="14">
        <f t="shared" ref="Q75:Q79" si="42">SUM(O75,P75)</f>
        <v>12.5</v>
      </c>
      <c r="R75" s="106"/>
      <c r="S75" s="106"/>
      <c r="U75" s="33" t="s">
        <v>223</v>
      </c>
      <c r="V75" s="150">
        <v>641</v>
      </c>
      <c r="W75" s="93" t="s">
        <v>956</v>
      </c>
      <c r="X75" s="14">
        <f t="shared" si="38"/>
        <v>8.4499999999999993</v>
      </c>
      <c r="Y75" s="283">
        <f t="shared" si="35"/>
        <v>27.999999999999989</v>
      </c>
      <c r="Z75" s="14">
        <f t="shared" si="39"/>
        <v>7</v>
      </c>
      <c r="AA75" s="283">
        <f t="shared" si="36"/>
        <v>29.999999999999989</v>
      </c>
      <c r="AB75" s="69">
        <f>Table35155053537[[#This Row],[Floor4]]+Table35155053537[[#This Row],[Vault6]]</f>
        <v>15.45</v>
      </c>
      <c r="AC75" s="283">
        <f t="shared" si="37"/>
        <v>44.000000000000007</v>
      </c>
    </row>
    <row r="76" spans="1:29">
      <c r="A76" s="150">
        <v>666</v>
      </c>
      <c r="B76" s="95" t="s">
        <v>1027</v>
      </c>
      <c r="C76" s="14">
        <v>8.4499999999999993</v>
      </c>
      <c r="D76" s="14">
        <v>7.2</v>
      </c>
      <c r="E76" s="14">
        <f t="shared" si="40"/>
        <v>15.649999999999999</v>
      </c>
      <c r="F76" s="81"/>
      <c r="G76" s="150">
        <v>672</v>
      </c>
      <c r="H76" s="95" t="s">
        <v>1052</v>
      </c>
      <c r="I76" s="14">
        <v>9.4499999999999993</v>
      </c>
      <c r="J76" s="14">
        <v>7.8</v>
      </c>
      <c r="K76" s="14">
        <f t="shared" si="41"/>
        <v>17.25</v>
      </c>
      <c r="L76" s="81"/>
      <c r="M76" s="150">
        <v>684</v>
      </c>
      <c r="N76" s="95" t="s">
        <v>453</v>
      </c>
      <c r="O76" s="14">
        <v>5</v>
      </c>
      <c r="P76" s="14">
        <v>7.5</v>
      </c>
      <c r="Q76" s="14">
        <f t="shared" si="42"/>
        <v>12.5</v>
      </c>
      <c r="R76" s="106"/>
      <c r="S76" s="106"/>
      <c r="U76" s="33" t="s">
        <v>223</v>
      </c>
      <c r="V76" s="150">
        <v>642</v>
      </c>
      <c r="W76" s="93" t="s">
        <v>376</v>
      </c>
      <c r="X76" s="14">
        <f t="shared" si="38"/>
        <v>9.5</v>
      </c>
      <c r="Y76" s="283">
        <f t="shared" si="35"/>
        <v>7</v>
      </c>
      <c r="Z76" s="14">
        <f t="shared" si="39"/>
        <v>7.1</v>
      </c>
      <c r="AA76" s="283">
        <f t="shared" si="36"/>
        <v>28.999999999999989</v>
      </c>
      <c r="AB76" s="69">
        <f>Table35155053537[[#This Row],[Floor4]]+Table35155053537[[#This Row],[Vault6]]</f>
        <v>16.600000000000001</v>
      </c>
      <c r="AC76" s="283">
        <f t="shared" si="37"/>
        <v>26.999999999999993</v>
      </c>
    </row>
    <row r="77" spans="1:29">
      <c r="A77" s="150">
        <v>667</v>
      </c>
      <c r="B77" s="95" t="s">
        <v>1028</v>
      </c>
      <c r="C77" s="14">
        <v>7.95</v>
      </c>
      <c r="D77" s="14">
        <v>7.5</v>
      </c>
      <c r="E77" s="14">
        <f t="shared" si="40"/>
        <v>15.45</v>
      </c>
      <c r="F77" s="81"/>
      <c r="G77" s="150">
        <v>673</v>
      </c>
      <c r="H77" s="95" t="s">
        <v>1053</v>
      </c>
      <c r="I77" s="14">
        <v>8.9499999999999993</v>
      </c>
      <c r="J77" s="14">
        <v>7.65</v>
      </c>
      <c r="K77" s="14">
        <f t="shared" si="41"/>
        <v>16.600000000000001</v>
      </c>
      <c r="L77" s="351"/>
      <c r="M77" s="150">
        <v>685</v>
      </c>
      <c r="N77" s="95" t="s">
        <v>1348</v>
      </c>
      <c r="O77" s="14">
        <v>5</v>
      </c>
      <c r="P77" s="14">
        <v>7.55</v>
      </c>
      <c r="Q77" s="14">
        <f t="shared" si="42"/>
        <v>12.55</v>
      </c>
      <c r="R77" s="106"/>
      <c r="S77" s="106"/>
      <c r="U77" s="33" t="s">
        <v>223</v>
      </c>
      <c r="V77" s="150">
        <v>643</v>
      </c>
      <c r="W77" s="93" t="s">
        <v>957</v>
      </c>
      <c r="X77" s="14">
        <f t="shared" si="38"/>
        <v>9.25</v>
      </c>
      <c r="Y77" s="283">
        <f t="shared" si="35"/>
        <v>12</v>
      </c>
      <c r="Z77" s="14">
        <f t="shared" si="39"/>
        <v>7.65</v>
      </c>
      <c r="AA77" s="283">
        <f t="shared" si="36"/>
        <v>18.999999999999993</v>
      </c>
      <c r="AB77" s="69">
        <f>Table35155053537[[#This Row],[Floor4]]+Table35155053537[[#This Row],[Vault6]]</f>
        <v>16.899999999999999</v>
      </c>
      <c r="AC77" s="283">
        <f t="shared" si="37"/>
        <v>21.999999999999996</v>
      </c>
    </row>
    <row r="78" spans="1:29">
      <c r="A78" s="150">
        <v>668</v>
      </c>
      <c r="B78" s="95" t="s">
        <v>1029</v>
      </c>
      <c r="C78" s="14">
        <v>8.5500000000000007</v>
      </c>
      <c r="D78" s="14">
        <v>7.55</v>
      </c>
      <c r="E78" s="14">
        <f t="shared" si="40"/>
        <v>16.100000000000001</v>
      </c>
      <c r="F78" s="81"/>
      <c r="G78" s="150">
        <v>674</v>
      </c>
      <c r="H78" s="359"/>
      <c r="I78" s="14">
        <v>0</v>
      </c>
      <c r="J78" s="14">
        <v>0</v>
      </c>
      <c r="K78" s="14">
        <f t="shared" si="41"/>
        <v>0</v>
      </c>
      <c r="L78" s="81"/>
      <c r="M78" s="150">
        <v>686</v>
      </c>
      <c r="N78" s="95" t="s">
        <v>1100</v>
      </c>
      <c r="O78" s="14">
        <v>5</v>
      </c>
      <c r="P78" s="14">
        <v>7.45</v>
      </c>
      <c r="Q78" s="14">
        <f t="shared" si="42"/>
        <v>12.45</v>
      </c>
      <c r="R78" s="106"/>
      <c r="S78" s="106"/>
      <c r="U78" s="33" t="s">
        <v>223</v>
      </c>
      <c r="V78" s="150">
        <v>644</v>
      </c>
      <c r="W78" s="93" t="s">
        <v>958</v>
      </c>
      <c r="X78" s="14">
        <f t="shared" si="38"/>
        <v>9.15</v>
      </c>
      <c r="Y78" s="283">
        <f t="shared" si="35"/>
        <v>13.999999999999998</v>
      </c>
      <c r="Z78" s="14">
        <f t="shared" si="39"/>
        <v>7.6</v>
      </c>
      <c r="AA78" s="283">
        <f t="shared" si="36"/>
        <v>19.999999999999993</v>
      </c>
      <c r="AB78" s="69">
        <f>Table35155053537[[#This Row],[Floor4]]+Table35155053537[[#This Row],[Vault6]]</f>
        <v>16.75</v>
      </c>
      <c r="AC78" s="283">
        <f t="shared" si="37"/>
        <v>23.999999999999996</v>
      </c>
    </row>
    <row r="79" spans="1:29" ht="16.5" thickBot="1">
      <c r="A79" s="150">
        <v>669</v>
      </c>
      <c r="B79" s="359"/>
      <c r="C79" s="14">
        <v>0</v>
      </c>
      <c r="D79" s="14">
        <v>0</v>
      </c>
      <c r="E79" s="14">
        <f t="shared" si="40"/>
        <v>0</v>
      </c>
      <c r="F79" s="81"/>
      <c r="G79" s="150">
        <v>675</v>
      </c>
      <c r="H79" s="359"/>
      <c r="I79" s="14">
        <v>0</v>
      </c>
      <c r="J79" s="14">
        <v>0</v>
      </c>
      <c r="K79" s="14">
        <f t="shared" si="41"/>
        <v>0</v>
      </c>
      <c r="L79" s="81"/>
      <c r="M79" s="150">
        <v>687</v>
      </c>
      <c r="N79" s="95" t="s">
        <v>1101</v>
      </c>
      <c r="O79" s="14">
        <v>5</v>
      </c>
      <c r="P79" s="14">
        <v>7.78</v>
      </c>
      <c r="Q79" s="14">
        <f t="shared" si="42"/>
        <v>12.780000000000001</v>
      </c>
      <c r="R79" s="106"/>
      <c r="S79" s="106"/>
      <c r="U79" s="33" t="s">
        <v>223</v>
      </c>
      <c r="V79" s="150">
        <v>645</v>
      </c>
      <c r="W79" s="100" t="s">
        <v>959</v>
      </c>
      <c r="X79" s="14">
        <f t="shared" si="38"/>
        <v>8.9499999999999993</v>
      </c>
      <c r="Y79" s="283">
        <f t="shared" si="35"/>
        <v>17.999999999999996</v>
      </c>
      <c r="Z79" s="14">
        <f t="shared" si="39"/>
        <v>7.7</v>
      </c>
      <c r="AA79" s="283">
        <f t="shared" si="36"/>
        <v>17.999999999999993</v>
      </c>
      <c r="AB79" s="69">
        <f>Table35155053537[[#This Row],[Floor4]]+Table35155053537[[#This Row],[Vault6]]</f>
        <v>16.649999999999999</v>
      </c>
      <c r="AC79" s="283">
        <f t="shared" si="37"/>
        <v>25.999999999999993</v>
      </c>
    </row>
    <row r="80" spans="1:29" ht="16.5" thickBot="1">
      <c r="A80" s="8"/>
      <c r="B80" s="18" t="s">
        <v>10</v>
      </c>
      <c r="C80" s="19">
        <f>SUM(C74:C79)-SMALL(C74:C79,1)-SMALL(C74:C79,2)</f>
        <v>35.200000000000003</v>
      </c>
      <c r="D80" s="19">
        <f>SUM(D74:D79)-SMALL(D74:D79,1)-SMALL(D74:D79,2)</f>
        <v>30.05</v>
      </c>
      <c r="E80" s="20">
        <f>SUM(C80:D80)</f>
        <v>65.25</v>
      </c>
      <c r="F80" s="81"/>
      <c r="G80" s="8"/>
      <c r="H80" s="18" t="s">
        <v>10</v>
      </c>
      <c r="I80" s="19">
        <f>SUM(I74:I79)-SMALL(I74:I79,1)-SMALL(I74:I79,2)</f>
        <v>36.65</v>
      </c>
      <c r="J80" s="19">
        <f>SUM(J74:J79)-SMALL(J74:J79,1)-SMALL(J74:J79,2)</f>
        <v>30.5</v>
      </c>
      <c r="K80" s="20">
        <f>SUM(I80:J80)</f>
        <v>67.150000000000006</v>
      </c>
      <c r="L80" s="81"/>
      <c r="M80" s="8"/>
      <c r="N80" s="18" t="s">
        <v>10</v>
      </c>
      <c r="O80" s="19">
        <f>SUM(O74:O79)-SMALL(O74:O79,1)-SMALL(O74:O79,2)</f>
        <v>20</v>
      </c>
      <c r="P80" s="19">
        <f>SUM(P74:P79)-SMALL(P74:P79,1)-SMALL(P74:P79,2)</f>
        <v>30.330000000000002</v>
      </c>
      <c r="Q80" s="20">
        <f>SUM(O80:P80)</f>
        <v>50.33</v>
      </c>
      <c r="R80" s="106"/>
      <c r="S80" s="106"/>
      <c r="U80" s="33" t="s">
        <v>223</v>
      </c>
      <c r="V80" s="150">
        <v>646</v>
      </c>
      <c r="W80" s="93" t="s">
        <v>960</v>
      </c>
      <c r="X80" s="14">
        <f>C63</f>
        <v>8.8000000000000007</v>
      </c>
      <c r="Y80" s="283">
        <f t="shared" si="35"/>
        <v>21.999999999999993</v>
      </c>
      <c r="Z80" s="14">
        <f>D63</f>
        <v>7.6</v>
      </c>
      <c r="AA80" s="283">
        <f t="shared" si="36"/>
        <v>19.999999999999993</v>
      </c>
      <c r="AB80" s="69">
        <f>Table35155053537[[#This Row],[Floor4]]+Table35155053537[[#This Row],[Vault6]]</f>
        <v>16.399999999999999</v>
      </c>
      <c r="AC80" s="283">
        <f t="shared" si="37"/>
        <v>31.999999999999993</v>
      </c>
    </row>
    <row r="81" spans="1:29">
      <c r="A81" s="8"/>
      <c r="B81" s="360" t="s">
        <v>37</v>
      </c>
      <c r="C81" s="8"/>
      <c r="D81" s="18"/>
      <c r="E81" s="22"/>
      <c r="F81" s="81"/>
      <c r="G81" s="8"/>
      <c r="H81" s="360" t="s">
        <v>37</v>
      </c>
      <c r="I81" s="8"/>
      <c r="J81" s="18"/>
      <c r="K81" s="22"/>
      <c r="L81" s="81"/>
      <c r="M81" s="8"/>
      <c r="N81" s="360" t="s">
        <v>37</v>
      </c>
      <c r="O81" s="8"/>
      <c r="P81" s="18"/>
      <c r="Q81" s="22"/>
      <c r="R81" s="106"/>
      <c r="S81" s="106"/>
      <c r="U81" s="33" t="s">
        <v>223</v>
      </c>
      <c r="V81" s="150">
        <v>647</v>
      </c>
      <c r="W81" s="93" t="s">
        <v>961</v>
      </c>
      <c r="X81" s="14">
        <f>C64</f>
        <v>9.25</v>
      </c>
      <c r="Y81" s="283">
        <f t="shared" si="35"/>
        <v>12</v>
      </c>
      <c r="Z81" s="14">
        <f>D64</f>
        <v>8.15</v>
      </c>
      <c r="AA81" s="283">
        <f t="shared" si="36"/>
        <v>8.0000000000000018</v>
      </c>
      <c r="AB81" s="69">
        <f>Table35155053537[[#This Row],[Floor4]]+Table35155053537[[#This Row],[Vault6]]</f>
        <v>17.399999999999999</v>
      </c>
      <c r="AC81" s="283">
        <f t="shared" si="37"/>
        <v>13</v>
      </c>
    </row>
    <row r="82" spans="1:29">
      <c r="A82" s="164"/>
      <c r="B82" s="164"/>
      <c r="C82" s="164"/>
      <c r="D82" s="164"/>
      <c r="E82" s="164"/>
      <c r="F82" s="81"/>
      <c r="G82" s="351"/>
      <c r="H82" s="351"/>
      <c r="I82" s="351"/>
      <c r="J82" s="351"/>
      <c r="K82" s="351"/>
      <c r="L82" s="351"/>
      <c r="M82" s="267"/>
      <c r="N82" s="8"/>
      <c r="O82" s="8"/>
      <c r="P82" s="8"/>
      <c r="Q82" s="267"/>
      <c r="R82" s="106"/>
      <c r="S82" s="106"/>
      <c r="U82" s="33" t="s">
        <v>223</v>
      </c>
      <c r="V82" s="150">
        <v>648</v>
      </c>
      <c r="W82" s="93" t="s">
        <v>962</v>
      </c>
      <c r="X82" s="14">
        <f>C65</f>
        <v>8.3000000000000007</v>
      </c>
      <c r="Y82" s="283">
        <f t="shared" si="35"/>
        <v>30.999999999999989</v>
      </c>
      <c r="Z82" s="14">
        <f>D65</f>
        <v>7.3</v>
      </c>
      <c r="AA82" s="283">
        <f t="shared" si="36"/>
        <v>25.999999999999986</v>
      </c>
      <c r="AB82" s="69">
        <f>Table35155053537[[#This Row],[Floor4]]+Table35155053537[[#This Row],[Vault6]]</f>
        <v>15.600000000000001</v>
      </c>
      <c r="AC82" s="283">
        <f t="shared" si="37"/>
        <v>43</v>
      </c>
    </row>
    <row r="83" spans="1:29">
      <c r="A83" s="348" t="s">
        <v>164</v>
      </c>
      <c r="B83" s="349"/>
      <c r="C83" s="349"/>
      <c r="D83" s="349"/>
      <c r="E83" s="350"/>
      <c r="F83" s="81"/>
      <c r="G83" s="348" t="s">
        <v>171</v>
      </c>
      <c r="H83" s="349"/>
      <c r="I83" s="349"/>
      <c r="J83" s="349"/>
      <c r="K83" s="350"/>
      <c r="L83" s="8"/>
      <c r="M83" s="348" t="s">
        <v>170</v>
      </c>
      <c r="N83" s="349"/>
      <c r="O83" s="349"/>
      <c r="P83" s="349"/>
      <c r="Q83" s="350"/>
      <c r="R83" s="106"/>
      <c r="S83" s="106"/>
      <c r="U83" s="33" t="s">
        <v>223</v>
      </c>
      <c r="V83" s="150">
        <v>649</v>
      </c>
      <c r="W83" s="93" t="s">
        <v>963</v>
      </c>
      <c r="X83" s="14">
        <f>C66</f>
        <v>8.8520000000000003</v>
      </c>
      <c r="Y83" s="283">
        <f t="shared" si="35"/>
        <v>19.999999999999996</v>
      </c>
      <c r="Z83" s="14">
        <f>D66</f>
        <v>7.55</v>
      </c>
      <c r="AA83" s="283">
        <f t="shared" si="36"/>
        <v>20.999999999999989</v>
      </c>
      <c r="AB83" s="69">
        <f>Table35155053537[[#This Row],[Floor4]]+Table35155053537[[#This Row],[Vault6]]</f>
        <v>16.402000000000001</v>
      </c>
      <c r="AC83" s="283">
        <f t="shared" si="37"/>
        <v>30.999999999999993</v>
      </c>
    </row>
    <row r="84" spans="1:29">
      <c r="A84" s="354" t="s">
        <v>1</v>
      </c>
      <c r="B84" s="354" t="s">
        <v>2</v>
      </c>
      <c r="C84" s="354" t="s">
        <v>3</v>
      </c>
      <c r="D84" s="354" t="s">
        <v>4</v>
      </c>
      <c r="E84" s="354" t="s">
        <v>5</v>
      </c>
      <c r="F84" s="81"/>
      <c r="G84" s="354" t="s">
        <v>1</v>
      </c>
      <c r="H84" s="354" t="s">
        <v>2</v>
      </c>
      <c r="I84" s="354" t="s">
        <v>3</v>
      </c>
      <c r="J84" s="354" t="s">
        <v>4</v>
      </c>
      <c r="K84" s="354" t="s">
        <v>5</v>
      </c>
      <c r="L84" s="8"/>
      <c r="M84" s="354" t="s">
        <v>1</v>
      </c>
      <c r="N84" s="354" t="s">
        <v>2</v>
      </c>
      <c r="O84" s="354" t="s">
        <v>3</v>
      </c>
      <c r="P84" s="354" t="s">
        <v>4</v>
      </c>
      <c r="Q84" s="354" t="s">
        <v>5</v>
      </c>
      <c r="R84" s="106"/>
      <c r="S84" s="106"/>
      <c r="U84" s="33" t="s">
        <v>223</v>
      </c>
      <c r="V84" s="150">
        <v>650</v>
      </c>
      <c r="W84" s="93" t="s">
        <v>964</v>
      </c>
      <c r="X84" s="14">
        <f>C67</f>
        <v>8.6</v>
      </c>
      <c r="Y84" s="283">
        <f t="shared" si="35"/>
        <v>24.999999999999993</v>
      </c>
      <c r="Z84" s="14">
        <f>D67</f>
        <v>7.35</v>
      </c>
      <c r="AA84" s="283">
        <f t="shared" si="36"/>
        <v>24.999999999999989</v>
      </c>
      <c r="AB84" s="69">
        <f>Table35155053537[[#This Row],[Floor4]]+Table35155053537[[#This Row],[Vault6]]</f>
        <v>15.95</v>
      </c>
      <c r="AC84" s="283">
        <f t="shared" si="37"/>
        <v>38</v>
      </c>
    </row>
    <row r="85" spans="1:29">
      <c r="A85" s="150">
        <v>688</v>
      </c>
      <c r="B85" s="95" t="s">
        <v>1111</v>
      </c>
      <c r="C85" s="14">
        <v>8.8000000000000007</v>
      </c>
      <c r="D85" s="14">
        <v>7.6</v>
      </c>
      <c r="E85" s="14">
        <f>SUM(C85,D85)</f>
        <v>16.399999999999999</v>
      </c>
      <c r="F85" s="81"/>
      <c r="G85" s="150">
        <v>694</v>
      </c>
      <c r="H85" s="95" t="s">
        <v>176</v>
      </c>
      <c r="I85" s="14">
        <v>9.65</v>
      </c>
      <c r="J85" s="14">
        <v>8.4</v>
      </c>
      <c r="K85" s="14">
        <f>SUM(I85,J85)</f>
        <v>18.05</v>
      </c>
      <c r="L85" s="8"/>
      <c r="M85" s="150">
        <v>700</v>
      </c>
      <c r="N85" s="95" t="s">
        <v>478</v>
      </c>
      <c r="O85" s="14">
        <v>9.6</v>
      </c>
      <c r="P85" s="14">
        <v>8.4</v>
      </c>
      <c r="Q85" s="14">
        <f>SUM(O85,P85)</f>
        <v>18</v>
      </c>
      <c r="R85" s="106"/>
      <c r="S85" s="106"/>
      <c r="U85" s="33" t="s">
        <v>983</v>
      </c>
      <c r="V85" s="150">
        <v>652</v>
      </c>
      <c r="W85" s="93" t="s">
        <v>988</v>
      </c>
      <c r="X85" s="14">
        <f>I63</f>
        <v>8.15</v>
      </c>
      <c r="Y85" s="283">
        <f t="shared" si="35"/>
        <v>31.999999999999989</v>
      </c>
      <c r="Z85" s="14">
        <f>J63</f>
        <v>7.7</v>
      </c>
      <c r="AA85" s="283">
        <f t="shared" si="36"/>
        <v>17.999999999999993</v>
      </c>
      <c r="AB85" s="69">
        <f>Table35155053537[[#This Row],[Floor4]]+Table35155053537[[#This Row],[Vault6]]</f>
        <v>15.850000000000001</v>
      </c>
      <c r="AC85" s="283">
        <f t="shared" si="37"/>
        <v>40</v>
      </c>
    </row>
    <row r="86" spans="1:29">
      <c r="A86" s="408">
        <v>689</v>
      </c>
      <c r="B86" s="410" t="s">
        <v>1112</v>
      </c>
      <c r="C86" s="401">
        <v>0</v>
      </c>
      <c r="D86" s="401">
        <v>0</v>
      </c>
      <c r="E86" s="401">
        <f t="shared" ref="E86:E90" si="43">SUM(C86,D86)</f>
        <v>0</v>
      </c>
      <c r="F86" s="81"/>
      <c r="G86" s="150">
        <v>695</v>
      </c>
      <c r="H86" s="95" t="s">
        <v>178</v>
      </c>
      <c r="I86" s="14">
        <v>8.4499999999999993</v>
      </c>
      <c r="J86" s="14">
        <v>7.6</v>
      </c>
      <c r="K86" s="14">
        <f t="shared" ref="K86:K90" si="44">SUM(I86,J86)</f>
        <v>16.049999999999997</v>
      </c>
      <c r="L86" s="8"/>
      <c r="M86" s="150">
        <v>701</v>
      </c>
      <c r="N86" s="95" t="s">
        <v>179</v>
      </c>
      <c r="O86" s="14">
        <v>8.5</v>
      </c>
      <c r="P86" s="14">
        <v>7.4</v>
      </c>
      <c r="Q86" s="14">
        <f t="shared" ref="Q86:Q90" si="45">SUM(O86,P86)</f>
        <v>15.9</v>
      </c>
      <c r="R86" s="106"/>
      <c r="S86" s="106"/>
      <c r="U86" s="33" t="s">
        <v>983</v>
      </c>
      <c r="V86" s="150">
        <v>653</v>
      </c>
      <c r="W86" s="93" t="s">
        <v>989</v>
      </c>
      <c r="X86" s="14">
        <f>I64</f>
        <v>8.35</v>
      </c>
      <c r="Y86" s="283">
        <f t="shared" si="35"/>
        <v>29.999999999999986</v>
      </c>
      <c r="Z86" s="14">
        <f>J64</f>
        <v>7.75</v>
      </c>
      <c r="AA86" s="283">
        <f t="shared" si="36"/>
        <v>16.999999999999989</v>
      </c>
      <c r="AB86" s="69">
        <f>Table35155053537[[#This Row],[Floor4]]+Table35155053537[[#This Row],[Vault6]]</f>
        <v>16.100000000000001</v>
      </c>
      <c r="AC86" s="283">
        <f t="shared" si="37"/>
        <v>36</v>
      </c>
    </row>
    <row r="87" spans="1:29">
      <c r="A87" s="150">
        <v>690</v>
      </c>
      <c r="B87" s="95" t="s">
        <v>463</v>
      </c>
      <c r="C87" s="14">
        <v>7.7</v>
      </c>
      <c r="D87" s="14">
        <v>7.5</v>
      </c>
      <c r="E87" s="14">
        <f t="shared" si="43"/>
        <v>15.2</v>
      </c>
      <c r="F87" s="81"/>
      <c r="G87" s="150">
        <v>696</v>
      </c>
      <c r="H87" s="95" t="s">
        <v>177</v>
      </c>
      <c r="I87" s="14">
        <v>8.5</v>
      </c>
      <c r="J87" s="14">
        <v>8</v>
      </c>
      <c r="K87" s="14">
        <f t="shared" si="44"/>
        <v>16.5</v>
      </c>
      <c r="L87" s="8"/>
      <c r="M87" s="150">
        <v>702</v>
      </c>
      <c r="N87" s="95" t="s">
        <v>91</v>
      </c>
      <c r="O87" s="14">
        <v>9.4499999999999993</v>
      </c>
      <c r="P87" s="14">
        <v>8.3000000000000007</v>
      </c>
      <c r="Q87" s="14">
        <f t="shared" si="45"/>
        <v>17.75</v>
      </c>
      <c r="R87" s="106"/>
      <c r="S87" s="106"/>
      <c r="U87" s="33" t="s">
        <v>983</v>
      </c>
      <c r="V87" s="150">
        <v>654</v>
      </c>
      <c r="W87" s="93" t="s">
        <v>990</v>
      </c>
      <c r="X87" s="14">
        <f>I65</f>
        <v>8.4499999999999993</v>
      </c>
      <c r="Y87" s="283">
        <f t="shared" si="35"/>
        <v>27.999999999999989</v>
      </c>
      <c r="Z87" s="14">
        <f>J65</f>
        <v>7.65</v>
      </c>
      <c r="AA87" s="283">
        <f t="shared" si="36"/>
        <v>18.999999999999993</v>
      </c>
      <c r="AB87" s="69">
        <f>Table35155053537[[#This Row],[Floor4]]+Table35155053537[[#This Row],[Vault6]]</f>
        <v>16.100000000000001</v>
      </c>
      <c r="AC87" s="283">
        <f t="shared" si="37"/>
        <v>36</v>
      </c>
    </row>
    <row r="88" spans="1:29">
      <c r="A88" s="150">
        <v>691</v>
      </c>
      <c r="B88" s="95" t="s">
        <v>1114</v>
      </c>
      <c r="C88" s="14">
        <v>9.4</v>
      </c>
      <c r="D88" s="14">
        <v>7.65</v>
      </c>
      <c r="E88" s="14">
        <f t="shared" si="43"/>
        <v>17.05</v>
      </c>
      <c r="F88" s="81"/>
      <c r="G88" s="150">
        <v>697</v>
      </c>
      <c r="H88" s="95" t="s">
        <v>181</v>
      </c>
      <c r="I88" s="14">
        <v>8</v>
      </c>
      <c r="J88" s="14">
        <v>7.8</v>
      </c>
      <c r="K88" s="14">
        <f t="shared" si="44"/>
        <v>15.8</v>
      </c>
      <c r="L88" s="8"/>
      <c r="M88" s="150">
        <v>703</v>
      </c>
      <c r="N88" s="95" t="s">
        <v>180</v>
      </c>
      <c r="O88" s="14">
        <v>9.4</v>
      </c>
      <c r="P88" s="14">
        <v>8.6</v>
      </c>
      <c r="Q88" s="14">
        <f t="shared" si="45"/>
        <v>18</v>
      </c>
      <c r="R88" s="106"/>
      <c r="S88" s="106"/>
      <c r="U88" s="33" t="s">
        <v>983</v>
      </c>
      <c r="V88" s="150">
        <v>655</v>
      </c>
      <c r="W88" s="93" t="s">
        <v>991</v>
      </c>
      <c r="X88" s="14">
        <f>I66</f>
        <v>8.4</v>
      </c>
      <c r="Y88" s="283">
        <f t="shared" si="35"/>
        <v>28.999999999999989</v>
      </c>
      <c r="Z88" s="14">
        <f>J66</f>
        <v>7.55</v>
      </c>
      <c r="AA88" s="283">
        <f t="shared" si="36"/>
        <v>20.999999999999989</v>
      </c>
      <c r="AB88" s="69">
        <f>Table35155053537[[#This Row],[Floor4]]+Table35155053537[[#This Row],[Vault6]]</f>
        <v>15.95</v>
      </c>
      <c r="AC88" s="283">
        <f t="shared" si="37"/>
        <v>38</v>
      </c>
    </row>
    <row r="89" spans="1:29">
      <c r="A89" s="150">
        <v>692</v>
      </c>
      <c r="B89" s="95" t="s">
        <v>1113</v>
      </c>
      <c r="C89" s="14">
        <v>9.4</v>
      </c>
      <c r="D89" s="14">
        <v>7.6</v>
      </c>
      <c r="E89" s="14">
        <f t="shared" si="43"/>
        <v>17</v>
      </c>
      <c r="F89" s="81"/>
      <c r="G89" s="150">
        <v>698</v>
      </c>
      <c r="H89" s="95" t="s">
        <v>1156</v>
      </c>
      <c r="I89" s="14">
        <v>9.8000000000000007</v>
      </c>
      <c r="J89" s="14">
        <v>8.1999999999999993</v>
      </c>
      <c r="K89" s="14">
        <f t="shared" si="44"/>
        <v>18</v>
      </c>
      <c r="L89" s="8"/>
      <c r="M89" s="150">
        <v>704</v>
      </c>
      <c r="N89" s="95" t="s">
        <v>1158</v>
      </c>
      <c r="O89" s="14">
        <v>8.9</v>
      </c>
      <c r="P89" s="14">
        <v>7.2</v>
      </c>
      <c r="Q89" s="14">
        <f t="shared" si="45"/>
        <v>16.100000000000001</v>
      </c>
      <c r="R89" s="106"/>
      <c r="S89" s="106"/>
      <c r="U89" s="33" t="s">
        <v>983</v>
      </c>
      <c r="V89" s="150">
        <v>656</v>
      </c>
      <c r="W89" s="93" t="s">
        <v>992</v>
      </c>
      <c r="X89" s="14">
        <f>I67</f>
        <v>8.3000000000000007</v>
      </c>
      <c r="Y89" s="283">
        <f t="shared" si="35"/>
        <v>30.999999999999989</v>
      </c>
      <c r="Z89" s="14">
        <f>J67</f>
        <v>7.6</v>
      </c>
      <c r="AA89" s="283">
        <f t="shared" si="36"/>
        <v>19.999999999999993</v>
      </c>
      <c r="AB89" s="69">
        <f>Table35155053537[[#This Row],[Floor4]]+Table35155053537[[#This Row],[Vault6]]</f>
        <v>15.9</v>
      </c>
      <c r="AC89" s="283">
        <f t="shared" si="37"/>
        <v>39</v>
      </c>
    </row>
    <row r="90" spans="1:29" ht="16.5" thickBot="1">
      <c r="A90" s="408">
        <v>693</v>
      </c>
      <c r="B90" s="410" t="s">
        <v>1358</v>
      </c>
      <c r="C90" s="401">
        <v>0</v>
      </c>
      <c r="D90" s="401">
        <v>0</v>
      </c>
      <c r="E90" s="401">
        <f t="shared" si="43"/>
        <v>0</v>
      </c>
      <c r="F90" s="81"/>
      <c r="G90" s="150">
        <v>699</v>
      </c>
      <c r="H90" s="95" t="s">
        <v>1157</v>
      </c>
      <c r="I90" s="14">
        <v>8.1</v>
      </c>
      <c r="J90" s="14">
        <v>7.5</v>
      </c>
      <c r="K90" s="14">
        <f t="shared" si="44"/>
        <v>15.6</v>
      </c>
      <c r="L90" s="8"/>
      <c r="M90" s="408">
        <v>705</v>
      </c>
      <c r="N90" s="410" t="s">
        <v>182</v>
      </c>
      <c r="O90" s="401">
        <v>0</v>
      </c>
      <c r="P90" s="401">
        <v>0</v>
      </c>
      <c r="Q90" s="401">
        <f t="shared" si="45"/>
        <v>0</v>
      </c>
      <c r="R90" s="106"/>
      <c r="S90" s="106"/>
      <c r="U90" s="33" t="s">
        <v>391</v>
      </c>
      <c r="V90" s="150">
        <v>658</v>
      </c>
      <c r="W90" s="101" t="s">
        <v>412</v>
      </c>
      <c r="X90" s="14">
        <f>O63</f>
        <v>9</v>
      </c>
      <c r="Y90" s="283">
        <f t="shared" si="35"/>
        <v>17.000000000000004</v>
      </c>
      <c r="Z90" s="14">
        <f>P63</f>
        <v>7.9</v>
      </c>
      <c r="AA90" s="283">
        <f t="shared" si="36"/>
        <v>12.999999999999993</v>
      </c>
      <c r="AB90" s="69">
        <f>Table35155053537[[#This Row],[Floor4]]+Table35155053537[[#This Row],[Vault6]]</f>
        <v>16.899999999999999</v>
      </c>
      <c r="AC90" s="283">
        <f t="shared" si="37"/>
        <v>21.999999999999996</v>
      </c>
    </row>
    <row r="91" spans="1:29" ht="16.5" thickBot="1">
      <c r="A91" s="8"/>
      <c r="B91" s="18" t="s">
        <v>10</v>
      </c>
      <c r="C91" s="19">
        <f>SUM(C85:C90)-SMALL(C85:C90,1)-SMALL(C85:C90,2)</f>
        <v>35.299999999999997</v>
      </c>
      <c r="D91" s="19">
        <f>SUM(D85:D90)-SMALL(D85:D90,1)-SMALL(D85:D90,2)</f>
        <v>30.35</v>
      </c>
      <c r="E91" s="20">
        <f>SUM(C91:D91)</f>
        <v>65.650000000000006</v>
      </c>
      <c r="F91" s="81"/>
      <c r="G91" s="8"/>
      <c r="H91" s="18" t="s">
        <v>10</v>
      </c>
      <c r="I91" s="19">
        <f>SUM(I85:I90)-SMALL(I85:I90,1)-SMALL(I85:I90,2)</f>
        <v>36.400000000000006</v>
      </c>
      <c r="J91" s="19">
        <f>SUM(J85:J90)-SMALL(J85:J90,1)-SMALL(J85:J90,2)</f>
        <v>32.4</v>
      </c>
      <c r="K91" s="20">
        <f>SUM(I91:J91)</f>
        <v>68.800000000000011</v>
      </c>
      <c r="L91" s="8"/>
      <c r="M91" s="8"/>
      <c r="N91" s="18" t="s">
        <v>10</v>
      </c>
      <c r="O91" s="19">
        <f>SUM(O85:O90)-SMALL(O85:O90,1)-SMALL(O85:O90,2)</f>
        <v>37.35</v>
      </c>
      <c r="P91" s="19">
        <f>SUM(P85:P90)-SMALL(P85:P90,1)-SMALL(P85:P90,2)</f>
        <v>32.700000000000003</v>
      </c>
      <c r="Q91" s="20">
        <f>SUM(O91:P91)</f>
        <v>70.050000000000011</v>
      </c>
      <c r="R91" s="106"/>
      <c r="S91" s="106"/>
      <c r="U91" s="33" t="s">
        <v>391</v>
      </c>
      <c r="V91" s="150">
        <v>659</v>
      </c>
      <c r="W91" s="101" t="s">
        <v>400</v>
      </c>
      <c r="X91" s="14">
        <f>O64</f>
        <v>10</v>
      </c>
      <c r="Y91" s="283">
        <f t="shared" si="35"/>
        <v>1</v>
      </c>
      <c r="Z91" s="14">
        <f>P64</f>
        <v>8.3000000000000007</v>
      </c>
      <c r="AA91" s="283">
        <f t="shared" si="36"/>
        <v>5.0000000000000009</v>
      </c>
      <c r="AB91" s="69">
        <f>Table35155053537[[#This Row],[Floor4]]+Table35155053537[[#This Row],[Vault6]]</f>
        <v>18.3</v>
      </c>
      <c r="AC91" s="283">
        <f t="shared" si="37"/>
        <v>1</v>
      </c>
    </row>
    <row r="92" spans="1:29">
      <c r="A92" s="8"/>
      <c r="B92" s="360" t="s">
        <v>37</v>
      </c>
      <c r="C92" s="8"/>
      <c r="D92" s="18"/>
      <c r="E92" s="22"/>
      <c r="F92" s="81"/>
      <c r="G92" s="8"/>
      <c r="H92" s="360" t="s">
        <v>37</v>
      </c>
      <c r="I92" s="8"/>
      <c r="J92" s="18"/>
      <c r="K92" s="22"/>
      <c r="L92" s="8"/>
      <c r="M92" s="8"/>
      <c r="N92" s="360" t="s">
        <v>37</v>
      </c>
      <c r="O92" s="8"/>
      <c r="P92" s="18"/>
      <c r="Q92" s="22"/>
      <c r="R92" s="106"/>
      <c r="S92" s="106"/>
      <c r="U92" s="33" t="s">
        <v>391</v>
      </c>
      <c r="V92" s="150">
        <v>660</v>
      </c>
      <c r="W92" s="101" t="s">
        <v>1025</v>
      </c>
      <c r="X92" s="14">
        <f>O65</f>
        <v>9.1</v>
      </c>
      <c r="Y92" s="283">
        <f t="shared" si="35"/>
        <v>15.000000000000002</v>
      </c>
      <c r="Z92" s="14">
        <f>P65</f>
        <v>7.6</v>
      </c>
      <c r="AA92" s="283">
        <f t="shared" si="36"/>
        <v>19.999999999999993</v>
      </c>
      <c r="AB92" s="69">
        <f>Table35155053537[[#This Row],[Floor4]]+Table35155053537[[#This Row],[Vault6]]</f>
        <v>16.7</v>
      </c>
      <c r="AC92" s="283">
        <f t="shared" si="37"/>
        <v>24.999999999999996</v>
      </c>
    </row>
    <row r="93" spans="1:29">
      <c r="F93" s="81"/>
      <c r="G93" s="81"/>
      <c r="H93" s="81"/>
      <c r="I93" s="81"/>
      <c r="J93" s="81"/>
      <c r="K93" s="81"/>
      <c r="L93" s="81"/>
      <c r="M93" s="106"/>
      <c r="Q93" s="106"/>
      <c r="R93" s="106"/>
      <c r="S93" s="106"/>
      <c r="U93" s="33" t="s">
        <v>391</v>
      </c>
      <c r="V93" s="150">
        <v>661</v>
      </c>
      <c r="W93" s="101" t="s">
        <v>411</v>
      </c>
      <c r="X93" s="14">
        <f>O66</f>
        <v>9.3000000000000007</v>
      </c>
      <c r="Y93" s="283">
        <f t="shared" si="35"/>
        <v>11</v>
      </c>
      <c r="Z93" s="14">
        <f>P66</f>
        <v>7.3</v>
      </c>
      <c r="AA93" s="283">
        <f t="shared" si="36"/>
        <v>25.999999999999986</v>
      </c>
      <c r="AB93" s="69">
        <f>Table35155053537[[#This Row],[Floor4]]+Table35155053537[[#This Row],[Vault6]]</f>
        <v>16.600000000000001</v>
      </c>
      <c r="AC93" s="283">
        <f t="shared" si="37"/>
        <v>26.999999999999993</v>
      </c>
    </row>
    <row r="94" spans="1:29">
      <c r="A94" s="348" t="s">
        <v>1223</v>
      </c>
      <c r="B94" s="349"/>
      <c r="C94" s="349"/>
      <c r="D94" s="349"/>
      <c r="E94" s="350"/>
      <c r="F94" s="81"/>
      <c r="G94" s="348" t="s">
        <v>193</v>
      </c>
      <c r="H94" s="349"/>
      <c r="I94" s="349"/>
      <c r="J94" s="349"/>
      <c r="K94" s="232"/>
      <c r="N94" s="39" t="s">
        <v>12</v>
      </c>
      <c r="O94" s="43" t="s">
        <v>5</v>
      </c>
      <c r="P94" s="44" t="s">
        <v>11</v>
      </c>
      <c r="R94" s="106"/>
      <c r="S94" s="106"/>
      <c r="U94" s="33" t="s">
        <v>391</v>
      </c>
      <c r="V94" s="150">
        <v>662</v>
      </c>
      <c r="W94" s="109" t="s">
        <v>447</v>
      </c>
      <c r="X94" s="14">
        <f>O67</f>
        <v>9.15</v>
      </c>
      <c r="Y94" s="283">
        <f t="shared" si="35"/>
        <v>13.999999999999998</v>
      </c>
      <c r="Z94" s="14">
        <f>P67</f>
        <v>8.1</v>
      </c>
      <c r="AA94" s="283">
        <f t="shared" si="36"/>
        <v>9.0000000000000018</v>
      </c>
      <c r="AB94" s="69">
        <f>Table35155053537[[#This Row],[Floor4]]+Table35155053537[[#This Row],[Vault6]]</f>
        <v>17.25</v>
      </c>
      <c r="AC94" s="283">
        <f t="shared" si="37"/>
        <v>16</v>
      </c>
    </row>
    <row r="95" spans="1:29">
      <c r="A95" s="9" t="s">
        <v>1</v>
      </c>
      <c r="B95" s="9" t="s">
        <v>2</v>
      </c>
      <c r="C95" s="9" t="s">
        <v>3</v>
      </c>
      <c r="D95" s="9" t="s">
        <v>4</v>
      </c>
      <c r="E95" s="9" t="s">
        <v>5</v>
      </c>
      <c r="F95" s="81"/>
      <c r="G95" s="9" t="s">
        <v>1</v>
      </c>
      <c r="H95" s="9" t="s">
        <v>2</v>
      </c>
      <c r="I95" s="9" t="s">
        <v>3</v>
      </c>
      <c r="J95" s="9" t="s">
        <v>4</v>
      </c>
      <c r="K95" s="9" t="s">
        <v>5</v>
      </c>
      <c r="N95" s="63" t="s">
        <v>227</v>
      </c>
      <c r="O95" s="62">
        <f>E14</f>
        <v>65.95</v>
      </c>
      <c r="P95" s="40">
        <f t="shared" ref="P95:P119" si="46">SUMPRODUCT((O$95:O$119&gt;O95)/COUNTIF(O$95:O$119,O$95:O$119&amp;""))+1</f>
        <v>19</v>
      </c>
      <c r="R95" s="106"/>
      <c r="S95" s="106"/>
      <c r="U95" s="33" t="s">
        <v>391</v>
      </c>
      <c r="V95" s="150">
        <v>664</v>
      </c>
      <c r="W95" s="101" t="s">
        <v>399</v>
      </c>
      <c r="X95" s="14">
        <f>C74</f>
        <v>9.0500000000000007</v>
      </c>
      <c r="Y95" s="283">
        <f t="shared" si="35"/>
        <v>16</v>
      </c>
      <c r="Z95" s="14">
        <f>D74</f>
        <v>7.55</v>
      </c>
      <c r="AA95" s="283">
        <f t="shared" si="36"/>
        <v>20.999999999999989</v>
      </c>
      <c r="AB95" s="69">
        <f>Table35155053537[[#This Row],[Floor4]]+Table35155053537[[#This Row],[Vault6]]</f>
        <v>16.600000000000001</v>
      </c>
      <c r="AC95" s="283">
        <f t="shared" si="37"/>
        <v>26.999999999999993</v>
      </c>
    </row>
    <row r="96" spans="1:29">
      <c r="A96" s="149">
        <v>706</v>
      </c>
      <c r="B96" s="93" t="s">
        <v>199</v>
      </c>
      <c r="C96" s="13">
        <v>9.65</v>
      </c>
      <c r="D96" s="13">
        <v>8.1999999999999993</v>
      </c>
      <c r="E96" s="13">
        <f>SUM(C96,D96)</f>
        <v>17.850000000000001</v>
      </c>
      <c r="F96" s="81"/>
      <c r="G96" s="149">
        <v>712</v>
      </c>
      <c r="H96" s="93" t="s">
        <v>196</v>
      </c>
      <c r="I96" s="13">
        <v>9.15</v>
      </c>
      <c r="J96" s="13">
        <v>8.1</v>
      </c>
      <c r="K96" s="13">
        <f>SUM(I96,J96)</f>
        <v>17.25</v>
      </c>
      <c r="N96" s="63" t="s">
        <v>551</v>
      </c>
      <c r="O96" s="64">
        <f>K14</f>
        <v>66.900000000000006</v>
      </c>
      <c r="P96" s="40">
        <f t="shared" si="46"/>
        <v>16</v>
      </c>
      <c r="R96" s="106"/>
      <c r="S96" s="106"/>
      <c r="U96" s="33" t="s">
        <v>391</v>
      </c>
      <c r="V96" s="150">
        <v>665</v>
      </c>
      <c r="W96" s="101" t="s">
        <v>1026</v>
      </c>
      <c r="X96" s="14">
        <f>C75</f>
        <v>9.15</v>
      </c>
      <c r="Y96" s="283">
        <f t="shared" si="35"/>
        <v>13.999999999999998</v>
      </c>
      <c r="Z96" s="14">
        <f>D75</f>
        <v>7.45</v>
      </c>
      <c r="AA96" s="283">
        <f t="shared" si="36"/>
        <v>22.999999999999993</v>
      </c>
      <c r="AB96" s="69">
        <f>Table35155053537[[#This Row],[Floor4]]+Table35155053537[[#This Row],[Vault6]]</f>
        <v>16.600000000000001</v>
      </c>
      <c r="AC96" s="283">
        <f t="shared" si="37"/>
        <v>26.999999999999993</v>
      </c>
    </row>
    <row r="97" spans="1:29">
      <c r="A97" s="149">
        <v>707</v>
      </c>
      <c r="B97" s="93" t="s">
        <v>200</v>
      </c>
      <c r="C97" s="13">
        <v>9.5</v>
      </c>
      <c r="D97" s="13">
        <v>8.15</v>
      </c>
      <c r="E97" s="13">
        <f t="shared" ref="E97:E101" si="47">SUM(C97,D97)</f>
        <v>17.649999999999999</v>
      </c>
      <c r="F97" s="81"/>
      <c r="G97" s="149">
        <v>713</v>
      </c>
      <c r="H97" s="93" t="s">
        <v>1241</v>
      </c>
      <c r="I97" s="13">
        <v>8.65</v>
      </c>
      <c r="J97" s="13">
        <v>8.0500000000000007</v>
      </c>
      <c r="K97" s="13">
        <f t="shared" ref="K97:K101" si="48">SUM(I97,J97)</f>
        <v>16.700000000000003</v>
      </c>
      <c r="N97" s="63" t="s">
        <v>1263</v>
      </c>
      <c r="O97" s="64">
        <f>Q14</f>
        <v>67.349999999999994</v>
      </c>
      <c r="P97" s="40">
        <f t="shared" si="46"/>
        <v>11</v>
      </c>
      <c r="R97" s="106"/>
      <c r="S97" s="106"/>
      <c r="U97" s="33" t="s">
        <v>391</v>
      </c>
      <c r="V97" s="150">
        <v>666</v>
      </c>
      <c r="W97" s="101" t="s">
        <v>1027</v>
      </c>
      <c r="X97" s="14">
        <f>C76</f>
        <v>8.4499999999999993</v>
      </c>
      <c r="Y97" s="283">
        <f t="shared" si="35"/>
        <v>27.999999999999989</v>
      </c>
      <c r="Z97" s="14">
        <f>D76</f>
        <v>7.2</v>
      </c>
      <c r="AA97" s="283">
        <f t="shared" si="36"/>
        <v>27.999999999999989</v>
      </c>
      <c r="AB97" s="69">
        <f>Table35155053537[[#This Row],[Floor4]]+Table35155053537[[#This Row],[Vault6]]</f>
        <v>15.649999999999999</v>
      </c>
      <c r="AC97" s="283">
        <f t="shared" si="37"/>
        <v>42</v>
      </c>
    </row>
    <row r="98" spans="1:29">
      <c r="A98" s="149">
        <v>708</v>
      </c>
      <c r="B98" s="93" t="s">
        <v>197</v>
      </c>
      <c r="C98" s="13">
        <v>9.4</v>
      </c>
      <c r="D98" s="13">
        <v>8.4</v>
      </c>
      <c r="E98" s="13">
        <f t="shared" si="47"/>
        <v>17.8</v>
      </c>
      <c r="F98" s="81"/>
      <c r="G98" s="149">
        <v>714</v>
      </c>
      <c r="H98" s="93" t="s">
        <v>1242</v>
      </c>
      <c r="I98" s="13">
        <v>8.5500000000000007</v>
      </c>
      <c r="J98" s="13">
        <v>7.7</v>
      </c>
      <c r="K98" s="13">
        <f t="shared" si="48"/>
        <v>16.25</v>
      </c>
      <c r="N98" s="63" t="s">
        <v>270</v>
      </c>
      <c r="O98" s="64">
        <f>E25</f>
        <v>67.95</v>
      </c>
      <c r="P98" s="40">
        <f t="shared" si="46"/>
        <v>8</v>
      </c>
      <c r="R98" s="106"/>
      <c r="S98" s="106"/>
      <c r="U98" s="33" t="s">
        <v>391</v>
      </c>
      <c r="V98" s="150">
        <v>667</v>
      </c>
      <c r="W98" s="101" t="s">
        <v>1028</v>
      </c>
      <c r="X98" s="14">
        <f>C77</f>
        <v>7.95</v>
      </c>
      <c r="Y98" s="283">
        <f t="shared" si="35"/>
        <v>34.999999999999993</v>
      </c>
      <c r="Z98" s="14">
        <f>D77</f>
        <v>7.5</v>
      </c>
      <c r="AA98" s="283">
        <f t="shared" si="36"/>
        <v>21.999999999999993</v>
      </c>
      <c r="AB98" s="69">
        <f>Table35155053537[[#This Row],[Floor4]]+Table35155053537[[#This Row],[Vault6]]</f>
        <v>15.45</v>
      </c>
      <c r="AC98" s="283">
        <f t="shared" si="37"/>
        <v>44.000000000000007</v>
      </c>
    </row>
    <row r="99" spans="1:29">
      <c r="A99" s="149">
        <v>709</v>
      </c>
      <c r="B99" s="93" t="s">
        <v>198</v>
      </c>
      <c r="C99" s="13">
        <v>9.4499999999999993</v>
      </c>
      <c r="D99" s="13">
        <v>8</v>
      </c>
      <c r="E99" s="13">
        <f t="shared" si="47"/>
        <v>17.45</v>
      </c>
      <c r="F99" s="81"/>
      <c r="G99" s="396">
        <v>715</v>
      </c>
      <c r="H99" s="436" t="s">
        <v>1243</v>
      </c>
      <c r="I99" s="398">
        <v>0</v>
      </c>
      <c r="J99" s="398">
        <v>0</v>
      </c>
      <c r="K99" s="398">
        <f t="shared" si="48"/>
        <v>0</v>
      </c>
      <c r="N99" s="7" t="s">
        <v>1279</v>
      </c>
      <c r="O99" s="64">
        <f>K25</f>
        <v>66.7</v>
      </c>
      <c r="P99" s="40">
        <f t="shared" si="46"/>
        <v>17</v>
      </c>
      <c r="R99" s="106"/>
      <c r="S99" s="106"/>
      <c r="U99" s="33" t="s">
        <v>391</v>
      </c>
      <c r="V99" s="150">
        <v>668</v>
      </c>
      <c r="W99" s="109" t="s">
        <v>1029</v>
      </c>
      <c r="X99" s="14">
        <f>C78</f>
        <v>8.5500000000000007</v>
      </c>
      <c r="Y99" s="283">
        <f t="shared" si="35"/>
        <v>25.999999999999989</v>
      </c>
      <c r="Z99" s="14">
        <f>D78</f>
        <v>7.55</v>
      </c>
      <c r="AA99" s="283">
        <f t="shared" si="36"/>
        <v>20.999999999999989</v>
      </c>
      <c r="AB99" s="69">
        <f>Table35155053537[[#This Row],[Floor4]]+Table35155053537[[#This Row],[Vault6]]</f>
        <v>16.100000000000001</v>
      </c>
      <c r="AC99" s="283">
        <f t="shared" si="37"/>
        <v>36</v>
      </c>
    </row>
    <row r="100" spans="1:29">
      <c r="A100" s="149">
        <v>710</v>
      </c>
      <c r="B100" s="240" t="s">
        <v>1240</v>
      </c>
      <c r="C100" s="13">
        <v>9.9</v>
      </c>
      <c r="D100" s="13">
        <v>8.4</v>
      </c>
      <c r="E100" s="13">
        <f t="shared" si="47"/>
        <v>18.3</v>
      </c>
      <c r="F100" s="81"/>
      <c r="G100" s="149">
        <v>716</v>
      </c>
      <c r="H100" s="93" t="s">
        <v>1244</v>
      </c>
      <c r="I100" s="13">
        <v>9.1999999999999993</v>
      </c>
      <c r="J100" s="13">
        <v>7.55</v>
      </c>
      <c r="K100" s="13">
        <f t="shared" si="48"/>
        <v>16.75</v>
      </c>
      <c r="N100" s="442" t="s">
        <v>558</v>
      </c>
      <c r="O100" s="443">
        <v>67.900000000000006</v>
      </c>
      <c r="P100" s="210">
        <f t="shared" si="46"/>
        <v>9</v>
      </c>
      <c r="R100" s="106"/>
      <c r="S100" s="106"/>
      <c r="U100" s="33" t="s">
        <v>1054</v>
      </c>
      <c r="V100" s="150">
        <v>670</v>
      </c>
      <c r="W100" s="101" t="s">
        <v>1050</v>
      </c>
      <c r="X100" s="14">
        <f>I74</f>
        <v>9.1999999999999993</v>
      </c>
      <c r="Y100" s="283">
        <f t="shared" si="35"/>
        <v>13</v>
      </c>
      <c r="Z100" s="14">
        <f>J74</f>
        <v>7.55</v>
      </c>
      <c r="AA100" s="283">
        <f t="shared" si="36"/>
        <v>20.999999999999989</v>
      </c>
      <c r="AB100" s="69">
        <f>Table35155053537[[#This Row],[Floor4]]+Table35155053537[[#This Row],[Vault6]]</f>
        <v>16.75</v>
      </c>
      <c r="AC100" s="283">
        <f t="shared" si="37"/>
        <v>23.999999999999996</v>
      </c>
    </row>
    <row r="101" spans="1:29" ht="16.5" thickBot="1">
      <c r="A101" s="149">
        <v>711</v>
      </c>
      <c r="B101" s="97"/>
      <c r="C101" s="13">
        <v>0</v>
      </c>
      <c r="D101" s="13">
        <v>0</v>
      </c>
      <c r="E101" s="13">
        <f t="shared" si="47"/>
        <v>0</v>
      </c>
      <c r="F101" s="81"/>
      <c r="G101" s="149">
        <v>717</v>
      </c>
      <c r="H101" s="97"/>
      <c r="I101" s="13">
        <v>0</v>
      </c>
      <c r="J101" s="13">
        <v>0</v>
      </c>
      <c r="K101" s="13">
        <f t="shared" si="48"/>
        <v>0</v>
      </c>
      <c r="N101" s="7" t="s">
        <v>1269</v>
      </c>
      <c r="O101" s="64">
        <f>K36</f>
        <v>67.099999999999994</v>
      </c>
      <c r="P101" s="40">
        <f t="shared" si="46"/>
        <v>13</v>
      </c>
      <c r="R101" s="106"/>
      <c r="S101" s="106"/>
      <c r="U101" s="33" t="s">
        <v>1054</v>
      </c>
      <c r="V101" s="150">
        <v>671</v>
      </c>
      <c r="W101" s="101" t="s">
        <v>1051</v>
      </c>
      <c r="X101" s="14">
        <f>I75</f>
        <v>9.0500000000000007</v>
      </c>
      <c r="Y101" s="283">
        <f t="shared" si="35"/>
        <v>16</v>
      </c>
      <c r="Z101" s="14">
        <f>J75</f>
        <v>7.5</v>
      </c>
      <c r="AA101" s="283">
        <f t="shared" si="36"/>
        <v>21.999999999999993</v>
      </c>
      <c r="AB101" s="69">
        <f>Table35155053537[[#This Row],[Floor4]]+Table35155053537[[#This Row],[Vault6]]</f>
        <v>16.55</v>
      </c>
      <c r="AC101" s="283">
        <f t="shared" si="37"/>
        <v>27.999999999999996</v>
      </c>
    </row>
    <row r="102" spans="1:29" ht="16.5" thickBot="1">
      <c r="B102" s="25" t="s">
        <v>10</v>
      </c>
      <c r="C102" s="19">
        <f>SUM(C96:C101)-SMALL(C96:C101,1)-SMALL(C96:C101,2)</f>
        <v>38.5</v>
      </c>
      <c r="D102" s="19">
        <f>SUM(D96:D101)-SMALL(D96:D101,1)-SMALL(D96:D101,2)</f>
        <v>33.15</v>
      </c>
      <c r="E102" s="20">
        <f>SUM(C102:D102)</f>
        <v>71.650000000000006</v>
      </c>
      <c r="F102" s="81"/>
      <c r="H102" s="25" t="s">
        <v>10</v>
      </c>
      <c r="I102" s="19">
        <f>SUM(I96:I101)-SMALL(I96:I101,1)-SMALL(I96:I101,2)</f>
        <v>35.549999999999997</v>
      </c>
      <c r="J102" s="19">
        <f>SUM(J96:J101)-SMALL(J96:J101,1)-SMALL(J96:J101,2)</f>
        <v>31.4</v>
      </c>
      <c r="K102" s="20">
        <f>SUM(I102:J102)</f>
        <v>66.949999999999989</v>
      </c>
      <c r="N102" s="63" t="s">
        <v>1280</v>
      </c>
      <c r="O102" s="62">
        <f>Q36</f>
        <v>67.05</v>
      </c>
      <c r="P102" s="40">
        <f t="shared" si="46"/>
        <v>14</v>
      </c>
      <c r="R102" s="106"/>
      <c r="S102" s="106"/>
      <c r="U102" s="33" t="s">
        <v>1054</v>
      </c>
      <c r="V102" s="150">
        <v>672</v>
      </c>
      <c r="W102" s="101" t="s">
        <v>1052</v>
      </c>
      <c r="X102" s="14">
        <f>I76</f>
        <v>9.4499999999999993</v>
      </c>
      <c r="Y102" s="283">
        <f t="shared" si="35"/>
        <v>7.9999999999999991</v>
      </c>
      <c r="Z102" s="14">
        <f>J76</f>
        <v>7.8</v>
      </c>
      <c r="AA102" s="283">
        <f t="shared" si="36"/>
        <v>14.999999999999991</v>
      </c>
      <c r="AB102" s="69">
        <f>Table35155053537[[#This Row],[Floor4]]+Table35155053537[[#This Row],[Vault6]]</f>
        <v>17.25</v>
      </c>
      <c r="AC102" s="283">
        <f t="shared" si="37"/>
        <v>16</v>
      </c>
    </row>
    <row r="103" spans="1:29">
      <c r="B103" s="94" t="s">
        <v>37</v>
      </c>
      <c r="D103" s="25"/>
      <c r="E103" s="26"/>
      <c r="F103" s="81"/>
      <c r="H103" s="94" t="s">
        <v>37</v>
      </c>
      <c r="J103" s="25"/>
      <c r="K103" s="26"/>
      <c r="N103" s="63" t="s">
        <v>538</v>
      </c>
      <c r="O103" s="46">
        <f>E47</f>
        <v>69.05</v>
      </c>
      <c r="P103" s="40">
        <f t="shared" si="46"/>
        <v>6</v>
      </c>
      <c r="R103" s="106"/>
      <c r="S103" s="106"/>
      <c r="U103" s="33" t="s">
        <v>1054</v>
      </c>
      <c r="V103" s="150">
        <v>673</v>
      </c>
      <c r="W103" s="109" t="s">
        <v>1053</v>
      </c>
      <c r="X103" s="14">
        <f>I77</f>
        <v>8.9499999999999993</v>
      </c>
      <c r="Y103" s="283">
        <f t="shared" ref="Y103:Y134" si="49">SUMPRODUCT((X$7:X$139&gt;X103)/COUNTIF(X$7:X$139,X$7:X$139&amp;""))+1</f>
        <v>17.999999999999996</v>
      </c>
      <c r="Z103" s="14">
        <f>J77</f>
        <v>7.65</v>
      </c>
      <c r="AA103" s="283">
        <f t="shared" ref="AA103:AA134" si="50">SUMPRODUCT((Z$7:Z$139&gt;Z103)/COUNTIF(Z$7:Z$139,Z$7:Z$139&amp;""))+1</f>
        <v>18.999999999999993</v>
      </c>
      <c r="AB103" s="69">
        <f>Table35155053537[[#This Row],[Floor4]]+Table35155053537[[#This Row],[Vault6]]</f>
        <v>16.600000000000001</v>
      </c>
      <c r="AC103" s="283">
        <f t="shared" ref="AC103:AC134" si="51">SUMPRODUCT((AB$7:AB$139&gt;AB103)/COUNTIF(AB$7:AB$139,AB$7:AB$139&amp;""))+1</f>
        <v>26.999999999999993</v>
      </c>
    </row>
    <row r="104" spans="1:29">
      <c r="A104" s="1"/>
      <c r="B104" s="1"/>
      <c r="C104" s="1"/>
      <c r="D104" s="1"/>
      <c r="E104" s="1"/>
      <c r="F104" s="1"/>
      <c r="G104" s="106"/>
      <c r="H104" s="106"/>
      <c r="I104" s="106"/>
      <c r="J104" s="106"/>
      <c r="K104" s="106"/>
      <c r="L104" s="106"/>
      <c r="M104" s="106"/>
      <c r="N104" s="63" t="s">
        <v>157</v>
      </c>
      <c r="O104" s="64">
        <f>K47</f>
        <v>70.949999999999989</v>
      </c>
      <c r="P104" s="40">
        <f t="shared" si="46"/>
        <v>2</v>
      </c>
      <c r="Q104" s="106"/>
      <c r="R104" s="106"/>
      <c r="S104" s="106"/>
      <c r="U104" s="33" t="s">
        <v>454</v>
      </c>
      <c r="V104" s="150">
        <v>682</v>
      </c>
      <c r="W104" s="95" t="s">
        <v>1080</v>
      </c>
      <c r="X104" s="14">
        <f t="shared" ref="X104:X109" si="52">O74</f>
        <v>5</v>
      </c>
      <c r="Y104" s="283">
        <f t="shared" si="49"/>
        <v>39.000000000000014</v>
      </c>
      <c r="Z104" s="14">
        <f t="shared" ref="Z104:Z109" si="53">P74</f>
        <v>7.4</v>
      </c>
      <c r="AA104" s="283">
        <f t="shared" si="50"/>
        <v>23.999999999999989</v>
      </c>
      <c r="AB104" s="69">
        <f>Table35155053537[[#This Row],[Floor4]]+Table35155053537[[#This Row],[Vault6]]</f>
        <v>12.4</v>
      </c>
      <c r="AC104" s="283">
        <f t="shared" si="51"/>
        <v>51.000000000000007</v>
      </c>
    </row>
    <row r="105" spans="1:29">
      <c r="A105" s="122"/>
      <c r="B105" s="137"/>
      <c r="C105" s="137"/>
      <c r="D105" s="137"/>
      <c r="E105" s="137"/>
      <c r="F105" s="1"/>
      <c r="G105" s="137"/>
      <c r="H105" s="137"/>
      <c r="I105" s="137"/>
      <c r="J105" s="137"/>
      <c r="K105" s="137"/>
      <c r="L105" s="81"/>
      <c r="M105" s="137"/>
      <c r="N105" s="63" t="s">
        <v>369</v>
      </c>
      <c r="O105" s="62">
        <f>Q47</f>
        <v>70.400000000000006</v>
      </c>
      <c r="P105" s="40">
        <f t="shared" si="46"/>
        <v>3</v>
      </c>
      <c r="Q105" s="137"/>
      <c r="R105" s="106"/>
      <c r="S105" s="106"/>
      <c r="U105" s="33" t="s">
        <v>454</v>
      </c>
      <c r="V105" s="150">
        <v>683</v>
      </c>
      <c r="W105" s="95" t="s">
        <v>1073</v>
      </c>
      <c r="X105" s="14">
        <f t="shared" si="52"/>
        <v>5</v>
      </c>
      <c r="Y105" s="283">
        <f t="shared" si="49"/>
        <v>39.000000000000014</v>
      </c>
      <c r="Z105" s="14">
        <f t="shared" si="53"/>
        <v>7.5</v>
      </c>
      <c r="AA105" s="283">
        <f t="shared" si="50"/>
        <v>21.999999999999993</v>
      </c>
      <c r="AB105" s="69">
        <f>Table35155053537[[#This Row],[Floor4]]+Table35155053537[[#This Row],[Vault6]]</f>
        <v>12.5</v>
      </c>
      <c r="AC105" s="283">
        <f t="shared" si="51"/>
        <v>49.000000000000007</v>
      </c>
    </row>
    <row r="106" spans="1:29">
      <c r="A106" s="111"/>
      <c r="B106" s="111"/>
      <c r="C106" s="111"/>
      <c r="D106" s="111"/>
      <c r="E106" s="111"/>
      <c r="F106" s="1"/>
      <c r="G106" s="77"/>
      <c r="H106" s="77"/>
      <c r="I106" s="77"/>
      <c r="J106" s="77"/>
      <c r="K106" s="77"/>
      <c r="L106" s="81"/>
      <c r="M106" s="77"/>
      <c r="N106" s="45" t="s">
        <v>1281</v>
      </c>
      <c r="O106" s="47">
        <f>E58</f>
        <v>51</v>
      </c>
      <c r="P106" s="40">
        <f t="shared" si="46"/>
        <v>23</v>
      </c>
      <c r="Q106" s="77"/>
      <c r="R106" s="106"/>
      <c r="S106" s="106"/>
      <c r="U106" s="33" t="s">
        <v>454</v>
      </c>
      <c r="V106" s="150">
        <v>684</v>
      </c>
      <c r="W106" s="95" t="s">
        <v>453</v>
      </c>
      <c r="X106" s="14">
        <f t="shared" si="52"/>
        <v>5</v>
      </c>
      <c r="Y106" s="283">
        <f t="shared" si="49"/>
        <v>39.000000000000014</v>
      </c>
      <c r="Z106" s="14">
        <f t="shared" si="53"/>
        <v>7.5</v>
      </c>
      <c r="AA106" s="283">
        <f t="shared" si="50"/>
        <v>21.999999999999993</v>
      </c>
      <c r="AB106" s="69">
        <f>Table35155053537[[#This Row],[Floor4]]+Table35155053537[[#This Row],[Vault6]]</f>
        <v>12.5</v>
      </c>
      <c r="AC106" s="283">
        <f t="shared" si="51"/>
        <v>49.000000000000007</v>
      </c>
    </row>
    <row r="107" spans="1:29">
      <c r="A107" s="102"/>
      <c r="B107" s="110"/>
      <c r="C107" s="73"/>
      <c r="D107" s="73"/>
      <c r="E107" s="73"/>
      <c r="F107" s="1"/>
      <c r="G107" s="80"/>
      <c r="H107" s="107"/>
      <c r="I107" s="68"/>
      <c r="J107" s="68"/>
      <c r="K107" s="68"/>
      <c r="L107" s="81"/>
      <c r="M107" s="80"/>
      <c r="N107" s="45" t="s">
        <v>1282</v>
      </c>
      <c r="O107" s="47">
        <f>K58</f>
        <v>67.599999999999994</v>
      </c>
      <c r="P107" s="40">
        <f t="shared" si="46"/>
        <v>10</v>
      </c>
      <c r="Q107" s="68"/>
      <c r="R107" s="106"/>
      <c r="S107" s="106"/>
      <c r="U107" s="33" t="s">
        <v>454</v>
      </c>
      <c r="V107" s="150">
        <v>685</v>
      </c>
      <c r="W107" s="95" t="s">
        <v>1348</v>
      </c>
      <c r="X107" s="14">
        <f t="shared" si="52"/>
        <v>5</v>
      </c>
      <c r="Y107" s="283">
        <f t="shared" si="49"/>
        <v>39.000000000000014</v>
      </c>
      <c r="Z107" s="14">
        <f t="shared" si="53"/>
        <v>7.55</v>
      </c>
      <c r="AA107" s="283">
        <f t="shared" si="50"/>
        <v>20.999999999999989</v>
      </c>
      <c r="AB107" s="69">
        <f>Table35155053537[[#This Row],[Floor4]]+Table35155053537[[#This Row],[Vault6]]</f>
        <v>12.55</v>
      </c>
      <c r="AC107" s="283">
        <f t="shared" si="51"/>
        <v>48.000000000000007</v>
      </c>
    </row>
    <row r="108" spans="1:29">
      <c r="A108" s="102"/>
      <c r="B108" s="110"/>
      <c r="C108" s="73"/>
      <c r="D108" s="73"/>
      <c r="E108" s="73"/>
      <c r="F108" s="1"/>
      <c r="G108" s="80"/>
      <c r="H108" s="107"/>
      <c r="I108" s="68"/>
      <c r="J108" s="68"/>
      <c r="K108" s="68"/>
      <c r="L108" s="81"/>
      <c r="M108" s="80"/>
      <c r="N108" s="45" t="s">
        <v>1283</v>
      </c>
      <c r="O108" s="47">
        <f>Q58</f>
        <v>67.900000000000006</v>
      </c>
      <c r="P108" s="40">
        <f t="shared" si="46"/>
        <v>9</v>
      </c>
      <c r="Q108" s="68"/>
      <c r="R108" s="106"/>
      <c r="S108" s="106"/>
      <c r="U108" s="33" t="s">
        <v>454</v>
      </c>
      <c r="V108" s="150">
        <v>686</v>
      </c>
      <c r="W108" s="95" t="s">
        <v>1100</v>
      </c>
      <c r="X108" s="14">
        <f t="shared" si="52"/>
        <v>5</v>
      </c>
      <c r="Y108" s="283">
        <f t="shared" si="49"/>
        <v>39.000000000000014</v>
      </c>
      <c r="Z108" s="14">
        <f t="shared" si="53"/>
        <v>7.45</v>
      </c>
      <c r="AA108" s="283">
        <f t="shared" si="50"/>
        <v>22.999999999999993</v>
      </c>
      <c r="AB108" s="69">
        <f>Table35155053537[[#This Row],[Floor4]]+Table35155053537[[#This Row],[Vault6]]</f>
        <v>12.45</v>
      </c>
      <c r="AC108" s="283">
        <f t="shared" si="51"/>
        <v>50.000000000000007</v>
      </c>
    </row>
    <row r="109" spans="1:29">
      <c r="A109" s="102"/>
      <c r="B109" s="110"/>
      <c r="C109" s="73"/>
      <c r="D109" s="73"/>
      <c r="E109" s="73"/>
      <c r="F109" s="1"/>
      <c r="G109" s="80"/>
      <c r="H109" s="107"/>
      <c r="I109" s="68"/>
      <c r="J109" s="68"/>
      <c r="K109" s="68"/>
      <c r="L109" s="81"/>
      <c r="M109" s="80"/>
      <c r="N109" s="7" t="s">
        <v>1284</v>
      </c>
      <c r="O109" s="46">
        <f>E69</f>
        <v>66.152000000000001</v>
      </c>
      <c r="P109" s="40">
        <f t="shared" si="46"/>
        <v>18</v>
      </c>
      <c r="Q109" s="68"/>
      <c r="R109" s="106"/>
      <c r="S109" s="106"/>
      <c r="U109" s="33" t="s">
        <v>454</v>
      </c>
      <c r="V109" s="150">
        <v>687</v>
      </c>
      <c r="W109" s="95" t="s">
        <v>1101</v>
      </c>
      <c r="X109" s="14">
        <f t="shared" si="52"/>
        <v>5</v>
      </c>
      <c r="Y109" s="283">
        <f t="shared" si="49"/>
        <v>39.000000000000014</v>
      </c>
      <c r="Z109" s="14">
        <f t="shared" si="53"/>
        <v>7.78</v>
      </c>
      <c r="AA109" s="283">
        <f t="shared" si="50"/>
        <v>15.999999999999989</v>
      </c>
      <c r="AB109" s="69">
        <f>Table35155053537[[#This Row],[Floor4]]+Table35155053537[[#This Row],[Vault6]]</f>
        <v>12.780000000000001</v>
      </c>
      <c r="AC109" s="283">
        <f t="shared" si="51"/>
        <v>47.000000000000007</v>
      </c>
    </row>
    <row r="110" spans="1:29">
      <c r="A110" s="102"/>
      <c r="B110" s="107"/>
      <c r="C110" s="73"/>
      <c r="D110" s="73"/>
      <c r="E110" s="73"/>
      <c r="F110" s="1"/>
      <c r="G110" s="80"/>
      <c r="H110" s="107"/>
      <c r="I110" s="68"/>
      <c r="J110" s="68"/>
      <c r="K110" s="68"/>
      <c r="L110" s="81"/>
      <c r="M110" s="80"/>
      <c r="N110" s="7" t="s">
        <v>555</v>
      </c>
      <c r="O110" s="46">
        <f>K69</f>
        <v>64.2</v>
      </c>
      <c r="P110" s="40">
        <f t="shared" si="46"/>
        <v>22</v>
      </c>
      <c r="Q110" s="68"/>
      <c r="R110" s="106"/>
      <c r="S110" s="106"/>
      <c r="U110" s="33" t="s">
        <v>1115</v>
      </c>
      <c r="V110" s="150">
        <v>688</v>
      </c>
      <c r="W110" s="101" t="s">
        <v>1111</v>
      </c>
      <c r="X110" s="14">
        <f t="shared" ref="X110:X115" si="54">C85</f>
        <v>8.8000000000000007</v>
      </c>
      <c r="Y110" s="283">
        <f t="shared" si="49"/>
        <v>21.999999999999993</v>
      </c>
      <c r="Z110" s="14">
        <f t="shared" ref="Z110:Z115" si="55">D85</f>
        <v>7.6</v>
      </c>
      <c r="AA110" s="283">
        <f t="shared" si="50"/>
        <v>19.999999999999993</v>
      </c>
      <c r="AB110" s="69">
        <f>Table35155053537[[#This Row],[Floor4]]+Table35155053537[[#This Row],[Vault6]]</f>
        <v>16.399999999999999</v>
      </c>
      <c r="AC110" s="283">
        <f t="shared" si="51"/>
        <v>31.999999999999993</v>
      </c>
    </row>
    <row r="111" spans="1:29">
      <c r="A111" s="102"/>
      <c r="B111" s="107"/>
      <c r="C111" s="73"/>
      <c r="D111" s="73"/>
      <c r="E111" s="73"/>
      <c r="F111" s="1"/>
      <c r="G111" s="80"/>
      <c r="H111" s="107"/>
      <c r="I111" s="68"/>
      <c r="J111" s="68"/>
      <c r="K111" s="68"/>
      <c r="L111" s="81"/>
      <c r="M111" s="80"/>
      <c r="N111" s="7" t="s">
        <v>539</v>
      </c>
      <c r="O111" s="46">
        <f>Q69</f>
        <v>69.45</v>
      </c>
      <c r="P111" s="40">
        <f t="shared" si="46"/>
        <v>5</v>
      </c>
      <c r="Q111" s="68"/>
      <c r="R111" s="106"/>
      <c r="S111" s="106"/>
      <c r="U111" s="400" t="s">
        <v>1115</v>
      </c>
      <c r="V111" s="408">
        <v>689</v>
      </c>
      <c r="W111" s="412" t="s">
        <v>1112</v>
      </c>
      <c r="X111" s="401">
        <f t="shared" si="54"/>
        <v>0</v>
      </c>
      <c r="Y111" s="402">
        <f t="shared" si="49"/>
        <v>40.000000000000028</v>
      </c>
      <c r="Z111" s="401">
        <f t="shared" si="55"/>
        <v>0</v>
      </c>
      <c r="AA111" s="402">
        <f t="shared" si="50"/>
        <v>33.999999999999993</v>
      </c>
      <c r="AB111" s="403">
        <f>Table35155053537[[#This Row],[Floor4]]+Table35155053537[[#This Row],[Vault6]]</f>
        <v>0</v>
      </c>
      <c r="AC111" s="402">
        <f t="shared" si="51"/>
        <v>53.000000000000007</v>
      </c>
    </row>
    <row r="112" spans="1:29">
      <c r="A112" s="102"/>
      <c r="B112" s="110"/>
      <c r="C112" s="73"/>
      <c r="D112" s="73"/>
      <c r="E112" s="68"/>
      <c r="F112" s="1"/>
      <c r="G112" s="80"/>
      <c r="H112" s="107"/>
      <c r="I112" s="68"/>
      <c r="J112" s="68"/>
      <c r="K112" s="68"/>
      <c r="L112" s="81"/>
      <c r="M112" s="80"/>
      <c r="N112" s="7" t="s">
        <v>540</v>
      </c>
      <c r="O112" s="46">
        <f>E80</f>
        <v>65.25</v>
      </c>
      <c r="P112" s="40">
        <f t="shared" si="46"/>
        <v>21</v>
      </c>
      <c r="Q112" s="68"/>
      <c r="R112" s="106"/>
      <c r="S112" s="106"/>
      <c r="U112" s="33" t="s">
        <v>1115</v>
      </c>
      <c r="V112" s="150">
        <v>690</v>
      </c>
      <c r="W112" s="101" t="s">
        <v>463</v>
      </c>
      <c r="X112" s="14">
        <f t="shared" si="54"/>
        <v>7.7</v>
      </c>
      <c r="Y112" s="283">
        <f t="shared" si="49"/>
        <v>37.000000000000007</v>
      </c>
      <c r="Z112" s="14">
        <f t="shared" si="55"/>
        <v>7.5</v>
      </c>
      <c r="AA112" s="283">
        <f t="shared" si="50"/>
        <v>21.999999999999993</v>
      </c>
      <c r="AB112" s="69">
        <f>Table35155053537[[#This Row],[Floor4]]+Table35155053537[[#This Row],[Vault6]]</f>
        <v>15.2</v>
      </c>
      <c r="AC112" s="283">
        <f t="shared" si="51"/>
        <v>46.000000000000007</v>
      </c>
    </row>
    <row r="113" spans="1:29">
      <c r="A113" s="1"/>
      <c r="B113" s="104"/>
      <c r="C113" s="64"/>
      <c r="D113" s="64"/>
      <c r="E113" s="105"/>
      <c r="F113" s="1"/>
      <c r="G113" s="106"/>
      <c r="H113" s="84"/>
      <c r="I113" s="64"/>
      <c r="J113" s="64"/>
      <c r="K113" s="105"/>
      <c r="L113" s="81"/>
      <c r="M113" s="106"/>
      <c r="N113" s="7" t="s">
        <v>1285</v>
      </c>
      <c r="O113" s="46">
        <f>K80</f>
        <v>67.150000000000006</v>
      </c>
      <c r="P113" s="40">
        <f t="shared" si="46"/>
        <v>12</v>
      </c>
      <c r="Q113" s="105"/>
      <c r="R113" s="106"/>
      <c r="S113" s="106"/>
      <c r="U113" s="33" t="s">
        <v>1115</v>
      </c>
      <c r="V113" s="150">
        <v>691</v>
      </c>
      <c r="W113" s="101" t="s">
        <v>1114</v>
      </c>
      <c r="X113" s="14">
        <f t="shared" si="54"/>
        <v>9.4</v>
      </c>
      <c r="Y113" s="283">
        <f t="shared" si="49"/>
        <v>9</v>
      </c>
      <c r="Z113" s="14">
        <f t="shared" si="55"/>
        <v>7.65</v>
      </c>
      <c r="AA113" s="283">
        <f t="shared" si="50"/>
        <v>18.999999999999993</v>
      </c>
      <c r="AB113" s="69">
        <f>Table35155053537[[#This Row],[Floor4]]+Table35155053537[[#This Row],[Vault6]]</f>
        <v>17.05</v>
      </c>
      <c r="AC113" s="283">
        <f t="shared" si="51"/>
        <v>18.999999999999996</v>
      </c>
    </row>
    <row r="114" spans="1:29">
      <c r="A114" s="1"/>
      <c r="B114" s="121"/>
      <c r="C114" s="1"/>
      <c r="D114" s="104"/>
      <c r="E114" s="115"/>
      <c r="F114" s="1"/>
      <c r="G114" s="106"/>
      <c r="H114" s="147"/>
      <c r="I114" s="106"/>
      <c r="J114" s="84"/>
      <c r="K114" s="85"/>
      <c r="L114" s="106"/>
      <c r="M114" s="106"/>
      <c r="N114" s="7" t="s">
        <v>559</v>
      </c>
      <c r="O114" s="46">
        <f>Q80</f>
        <v>50.33</v>
      </c>
      <c r="P114" s="40">
        <f t="shared" si="46"/>
        <v>24</v>
      </c>
      <c r="Q114" s="85"/>
      <c r="R114" s="106"/>
      <c r="S114" s="106"/>
      <c r="U114" s="33" t="s">
        <v>1115</v>
      </c>
      <c r="V114" s="150">
        <v>692</v>
      </c>
      <c r="W114" s="101" t="s">
        <v>1113</v>
      </c>
      <c r="X114" s="14">
        <f t="shared" si="54"/>
        <v>9.4</v>
      </c>
      <c r="Y114" s="283">
        <f t="shared" si="49"/>
        <v>9</v>
      </c>
      <c r="Z114" s="14">
        <f t="shared" si="55"/>
        <v>7.6</v>
      </c>
      <c r="AA114" s="283">
        <f t="shared" si="50"/>
        <v>19.999999999999993</v>
      </c>
      <c r="AB114" s="69">
        <f>Table35155053537[[#This Row],[Floor4]]+Table35155053537[[#This Row],[Vault6]]</f>
        <v>17</v>
      </c>
      <c r="AC114" s="283">
        <f t="shared" si="51"/>
        <v>19.999999999999996</v>
      </c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N115" s="7" t="s">
        <v>219</v>
      </c>
      <c r="O115" s="46">
        <f>E91</f>
        <v>65.650000000000006</v>
      </c>
      <c r="P115" s="40">
        <f t="shared" si="46"/>
        <v>20</v>
      </c>
      <c r="U115" s="400" t="s">
        <v>1115</v>
      </c>
      <c r="V115" s="408">
        <v>693</v>
      </c>
      <c r="W115" s="414" t="s">
        <v>1358</v>
      </c>
      <c r="X115" s="401">
        <f t="shared" si="54"/>
        <v>0</v>
      </c>
      <c r="Y115" s="402">
        <f t="shared" si="49"/>
        <v>40.000000000000028</v>
      </c>
      <c r="Z115" s="401">
        <f t="shared" si="55"/>
        <v>0</v>
      </c>
      <c r="AA115" s="402">
        <f t="shared" si="50"/>
        <v>33.999999999999993</v>
      </c>
      <c r="AB115" s="403">
        <f>Table35155053537[[#This Row],[Floor4]]+Table35155053537[[#This Row],[Vault6]]</f>
        <v>0</v>
      </c>
      <c r="AC115" s="402">
        <f t="shared" si="51"/>
        <v>53.000000000000007</v>
      </c>
    </row>
    <row r="116" spans="1:29">
      <c r="A116" s="137"/>
      <c r="B116" s="137"/>
      <c r="C116" s="137"/>
      <c r="D116" s="137"/>
      <c r="E116" s="137"/>
      <c r="F116" s="1"/>
      <c r="G116" s="137"/>
      <c r="H116" s="137"/>
      <c r="I116" s="137"/>
      <c r="J116" s="137"/>
      <c r="K116" s="137"/>
      <c r="N116" s="7" t="s">
        <v>171</v>
      </c>
      <c r="O116" s="46">
        <f>K91</f>
        <v>68.800000000000011</v>
      </c>
      <c r="P116" s="40">
        <f t="shared" si="46"/>
        <v>7</v>
      </c>
      <c r="U116" s="33" t="s">
        <v>87</v>
      </c>
      <c r="V116" s="150">
        <v>694</v>
      </c>
      <c r="W116" s="101" t="s">
        <v>176</v>
      </c>
      <c r="X116" s="14">
        <f t="shared" ref="X116:X121" si="56">I85</f>
        <v>9.65</v>
      </c>
      <c r="Y116" s="283">
        <f t="shared" si="49"/>
        <v>5</v>
      </c>
      <c r="Z116" s="14">
        <f t="shared" ref="Z116:Z121" si="57">J85</f>
        <v>8.4</v>
      </c>
      <c r="AA116" s="283">
        <f t="shared" si="50"/>
        <v>4</v>
      </c>
      <c r="AB116" s="69">
        <f>Table35155053537[[#This Row],[Floor4]]+Table35155053537[[#This Row],[Vault6]]</f>
        <v>18.05</v>
      </c>
      <c r="AC116" s="283">
        <f t="shared" si="51"/>
        <v>3</v>
      </c>
    </row>
    <row r="117" spans="1:29">
      <c r="A117" s="111"/>
      <c r="B117" s="111"/>
      <c r="C117" s="111"/>
      <c r="D117" s="111"/>
      <c r="E117" s="111"/>
      <c r="F117" s="1"/>
      <c r="G117" s="111"/>
      <c r="H117" s="111"/>
      <c r="I117" s="111"/>
      <c r="J117" s="111"/>
      <c r="K117" s="111"/>
      <c r="N117" s="7" t="s">
        <v>170</v>
      </c>
      <c r="O117" s="46">
        <f>Q91</f>
        <v>70.050000000000011</v>
      </c>
      <c r="P117" s="40">
        <f t="shared" si="46"/>
        <v>4</v>
      </c>
      <c r="U117" s="33" t="s">
        <v>87</v>
      </c>
      <c r="V117" s="150">
        <v>695</v>
      </c>
      <c r="W117" s="101" t="s">
        <v>178</v>
      </c>
      <c r="X117" s="14">
        <f t="shared" si="56"/>
        <v>8.4499999999999993</v>
      </c>
      <c r="Y117" s="283">
        <f t="shared" si="49"/>
        <v>27.999999999999989</v>
      </c>
      <c r="Z117" s="14">
        <f t="shared" si="57"/>
        <v>7.6</v>
      </c>
      <c r="AA117" s="283">
        <f t="shared" si="50"/>
        <v>19.999999999999993</v>
      </c>
      <c r="AB117" s="69">
        <f>Table35155053537[[#This Row],[Floor4]]+Table35155053537[[#This Row],[Vault6]]</f>
        <v>16.049999999999997</v>
      </c>
      <c r="AC117" s="283">
        <f t="shared" si="51"/>
        <v>37</v>
      </c>
    </row>
    <row r="118" spans="1:29">
      <c r="A118" s="102"/>
      <c r="B118" s="110"/>
      <c r="C118" s="73"/>
      <c r="D118" s="73"/>
      <c r="E118" s="73"/>
      <c r="F118" s="1"/>
      <c r="G118" s="102"/>
      <c r="H118" s="110"/>
      <c r="I118" s="73"/>
      <c r="J118" s="73"/>
      <c r="K118" s="73"/>
      <c r="N118" s="7" t="s">
        <v>216</v>
      </c>
      <c r="O118" s="46">
        <f>E102</f>
        <v>71.650000000000006</v>
      </c>
      <c r="P118" s="40">
        <f t="shared" si="46"/>
        <v>1</v>
      </c>
      <c r="U118" s="33" t="s">
        <v>87</v>
      </c>
      <c r="V118" s="150">
        <v>696</v>
      </c>
      <c r="W118" s="101" t="s">
        <v>177</v>
      </c>
      <c r="X118" s="14">
        <f t="shared" si="56"/>
        <v>8.5</v>
      </c>
      <c r="Y118" s="283">
        <f t="shared" si="49"/>
        <v>26.999999999999993</v>
      </c>
      <c r="Z118" s="14">
        <f t="shared" si="57"/>
        <v>8</v>
      </c>
      <c r="AA118" s="283">
        <f t="shared" si="50"/>
        <v>11</v>
      </c>
      <c r="AB118" s="69">
        <f>Table35155053537[[#This Row],[Floor4]]+Table35155053537[[#This Row],[Vault6]]</f>
        <v>16.5</v>
      </c>
      <c r="AC118" s="283">
        <f t="shared" si="51"/>
        <v>28.999999999999996</v>
      </c>
    </row>
    <row r="119" spans="1:29">
      <c r="A119" s="102"/>
      <c r="B119" s="110"/>
      <c r="C119" s="73"/>
      <c r="D119" s="73"/>
      <c r="E119" s="73"/>
      <c r="F119" s="1"/>
      <c r="G119" s="102"/>
      <c r="H119" s="103"/>
      <c r="I119" s="73"/>
      <c r="J119" s="73"/>
      <c r="K119" s="73"/>
      <c r="N119" s="7" t="s">
        <v>217</v>
      </c>
      <c r="O119" s="46">
        <f>K102</f>
        <v>66.949999999999989</v>
      </c>
      <c r="P119" s="40">
        <f t="shared" si="46"/>
        <v>15</v>
      </c>
      <c r="U119" s="33" t="s">
        <v>87</v>
      </c>
      <c r="V119" s="150">
        <v>697</v>
      </c>
      <c r="W119" s="101" t="s">
        <v>181</v>
      </c>
      <c r="X119" s="14">
        <f t="shared" si="56"/>
        <v>8</v>
      </c>
      <c r="Y119" s="283">
        <f t="shared" si="49"/>
        <v>33.999999999999993</v>
      </c>
      <c r="Z119" s="14">
        <f t="shared" si="57"/>
        <v>7.8</v>
      </c>
      <c r="AA119" s="283">
        <f t="shared" si="50"/>
        <v>14.999999999999991</v>
      </c>
      <c r="AB119" s="69">
        <f>Table35155053537[[#This Row],[Floor4]]+Table35155053537[[#This Row],[Vault6]]</f>
        <v>15.8</v>
      </c>
      <c r="AC119" s="283">
        <f t="shared" si="51"/>
        <v>41</v>
      </c>
    </row>
    <row r="120" spans="1:29">
      <c r="A120" s="102"/>
      <c r="B120" s="110"/>
      <c r="C120" s="73"/>
      <c r="D120" s="73"/>
      <c r="E120" s="73"/>
      <c r="F120" s="1"/>
      <c r="G120" s="102"/>
      <c r="H120" s="103"/>
      <c r="I120" s="73"/>
      <c r="J120" s="73"/>
      <c r="K120" s="73"/>
      <c r="U120" s="33" t="s">
        <v>87</v>
      </c>
      <c r="V120" s="150">
        <v>698</v>
      </c>
      <c r="W120" s="101" t="s">
        <v>1156</v>
      </c>
      <c r="X120" s="14">
        <f t="shared" si="56"/>
        <v>9.8000000000000007</v>
      </c>
      <c r="Y120" s="283">
        <f t="shared" si="49"/>
        <v>3</v>
      </c>
      <c r="Z120" s="14">
        <f t="shared" si="57"/>
        <v>8.1999999999999993</v>
      </c>
      <c r="AA120" s="283">
        <f t="shared" si="50"/>
        <v>7.0000000000000009</v>
      </c>
      <c r="AB120" s="69">
        <f>Table35155053537[[#This Row],[Floor4]]+Table35155053537[[#This Row],[Vault6]]</f>
        <v>18</v>
      </c>
      <c r="AC120" s="283">
        <f t="shared" si="51"/>
        <v>4</v>
      </c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U121" s="33" t="s">
        <v>87</v>
      </c>
      <c r="V121" s="150">
        <v>699</v>
      </c>
      <c r="W121" s="109" t="s">
        <v>1157</v>
      </c>
      <c r="X121" s="14">
        <f t="shared" si="56"/>
        <v>8.1</v>
      </c>
      <c r="Y121" s="283">
        <f t="shared" si="49"/>
        <v>32.999999999999986</v>
      </c>
      <c r="Z121" s="14">
        <f t="shared" si="57"/>
        <v>7.5</v>
      </c>
      <c r="AA121" s="283">
        <f t="shared" si="50"/>
        <v>21.999999999999993</v>
      </c>
      <c r="AB121" s="69">
        <f>Table35155053537[[#This Row],[Floor4]]+Table35155053537[[#This Row],[Vault6]]</f>
        <v>15.6</v>
      </c>
      <c r="AC121" s="283">
        <f t="shared" si="51"/>
        <v>43</v>
      </c>
    </row>
    <row r="122" spans="1:29">
      <c r="U122" s="33" t="s">
        <v>87</v>
      </c>
      <c r="V122" s="150">
        <v>700</v>
      </c>
      <c r="W122" s="101" t="s">
        <v>478</v>
      </c>
      <c r="X122" s="14">
        <f t="shared" ref="X122:X127" si="58">O85</f>
        <v>9.6</v>
      </c>
      <c r="Y122" s="283">
        <f t="shared" si="49"/>
        <v>6</v>
      </c>
      <c r="Z122" s="14">
        <f t="shared" ref="Z122:Z127" si="59">P85</f>
        <v>8.4</v>
      </c>
      <c r="AA122" s="283">
        <f t="shared" si="50"/>
        <v>4</v>
      </c>
      <c r="AB122" s="69">
        <f>Table35155053537[[#This Row],[Floor4]]+Table35155053537[[#This Row],[Vault6]]</f>
        <v>18</v>
      </c>
      <c r="AC122" s="283">
        <f t="shared" si="51"/>
        <v>4</v>
      </c>
    </row>
    <row r="123" spans="1:29">
      <c r="U123" s="33" t="s">
        <v>87</v>
      </c>
      <c r="V123" s="150">
        <v>701</v>
      </c>
      <c r="W123" s="101" t="s">
        <v>179</v>
      </c>
      <c r="X123" s="14">
        <f t="shared" si="58"/>
        <v>8.5</v>
      </c>
      <c r="Y123" s="283">
        <f t="shared" si="49"/>
        <v>26.999999999999993</v>
      </c>
      <c r="Z123" s="14">
        <f t="shared" si="59"/>
        <v>7.4</v>
      </c>
      <c r="AA123" s="283">
        <f t="shared" si="50"/>
        <v>23.999999999999989</v>
      </c>
      <c r="AB123" s="69">
        <f>Table35155053537[[#This Row],[Floor4]]+Table35155053537[[#This Row],[Vault6]]</f>
        <v>15.9</v>
      </c>
      <c r="AC123" s="283">
        <f t="shared" si="51"/>
        <v>39</v>
      </c>
    </row>
    <row r="124" spans="1:29">
      <c r="U124" s="33" t="s">
        <v>87</v>
      </c>
      <c r="V124" s="150">
        <v>702</v>
      </c>
      <c r="W124" s="101" t="s">
        <v>91</v>
      </c>
      <c r="X124" s="14">
        <f t="shared" si="58"/>
        <v>9.4499999999999993</v>
      </c>
      <c r="Y124" s="283">
        <f t="shared" si="49"/>
        <v>7.9999999999999991</v>
      </c>
      <c r="Z124" s="14">
        <f t="shared" si="59"/>
        <v>8.3000000000000007</v>
      </c>
      <c r="AA124" s="283">
        <f t="shared" si="50"/>
        <v>5.0000000000000009</v>
      </c>
      <c r="AB124" s="69">
        <f>Table35155053537[[#This Row],[Floor4]]+Table35155053537[[#This Row],[Vault6]]</f>
        <v>17.75</v>
      </c>
      <c r="AC124" s="283">
        <f t="shared" si="51"/>
        <v>8</v>
      </c>
    </row>
    <row r="125" spans="1:29">
      <c r="U125" s="33" t="s">
        <v>87</v>
      </c>
      <c r="V125" s="150">
        <v>703</v>
      </c>
      <c r="W125" s="101" t="s">
        <v>180</v>
      </c>
      <c r="X125" s="14">
        <f t="shared" si="58"/>
        <v>9.4</v>
      </c>
      <c r="Y125" s="283">
        <f t="shared" si="49"/>
        <v>9</v>
      </c>
      <c r="Z125" s="14">
        <f t="shared" si="59"/>
        <v>8.6</v>
      </c>
      <c r="AA125" s="283">
        <f t="shared" si="50"/>
        <v>1</v>
      </c>
      <c r="AB125" s="69">
        <f>Table35155053537[[#This Row],[Floor4]]+Table35155053537[[#This Row],[Vault6]]</f>
        <v>18</v>
      </c>
      <c r="AC125" s="283">
        <f t="shared" si="51"/>
        <v>4</v>
      </c>
    </row>
    <row r="126" spans="1:29">
      <c r="U126" s="33" t="s">
        <v>87</v>
      </c>
      <c r="V126" s="150">
        <v>704</v>
      </c>
      <c r="W126" s="101" t="s">
        <v>1158</v>
      </c>
      <c r="X126" s="14">
        <f t="shared" si="58"/>
        <v>8.9</v>
      </c>
      <c r="Y126" s="283">
        <f t="shared" si="49"/>
        <v>19</v>
      </c>
      <c r="Z126" s="14">
        <f t="shared" si="59"/>
        <v>7.2</v>
      </c>
      <c r="AA126" s="283">
        <f t="shared" si="50"/>
        <v>27.999999999999989</v>
      </c>
      <c r="AB126" s="69">
        <f>Table35155053537[[#This Row],[Floor4]]+Table35155053537[[#This Row],[Vault6]]</f>
        <v>16.100000000000001</v>
      </c>
      <c r="AC126" s="283">
        <f t="shared" si="51"/>
        <v>36</v>
      </c>
    </row>
    <row r="127" spans="1:29">
      <c r="U127" s="400" t="s">
        <v>87</v>
      </c>
      <c r="V127" s="408">
        <v>705</v>
      </c>
      <c r="W127" s="414" t="s">
        <v>182</v>
      </c>
      <c r="X127" s="401">
        <f t="shared" si="58"/>
        <v>0</v>
      </c>
      <c r="Y127" s="402">
        <f t="shared" si="49"/>
        <v>40.000000000000028</v>
      </c>
      <c r="Z127" s="401">
        <f t="shared" si="59"/>
        <v>0</v>
      </c>
      <c r="AA127" s="402">
        <f t="shared" si="50"/>
        <v>33.999999999999993</v>
      </c>
      <c r="AB127" s="403">
        <f>Table35155053537[[#This Row],[Floor4]]+Table35155053537[[#This Row],[Vault6]]</f>
        <v>0</v>
      </c>
      <c r="AC127" s="402">
        <f t="shared" si="51"/>
        <v>53.000000000000007</v>
      </c>
    </row>
    <row r="128" spans="1:29">
      <c r="U128" s="33" t="s">
        <v>1227</v>
      </c>
      <c r="V128" s="149">
        <v>706</v>
      </c>
      <c r="W128" s="101" t="s">
        <v>199</v>
      </c>
      <c r="X128" s="14">
        <f>C96</f>
        <v>9.65</v>
      </c>
      <c r="Y128" s="283">
        <f t="shared" si="49"/>
        <v>5</v>
      </c>
      <c r="Z128" s="14">
        <f>D96</f>
        <v>8.1999999999999993</v>
      </c>
      <c r="AA128" s="283">
        <f t="shared" si="50"/>
        <v>7.0000000000000009</v>
      </c>
      <c r="AB128" s="69">
        <f>Table35155053537[[#This Row],[Floor4]]+Table35155053537[[#This Row],[Vault6]]</f>
        <v>17.850000000000001</v>
      </c>
      <c r="AC128" s="283">
        <f t="shared" si="51"/>
        <v>6</v>
      </c>
    </row>
    <row r="129" spans="1:29">
      <c r="A129" s="1"/>
      <c r="B129" s="1"/>
      <c r="C129" s="1"/>
      <c r="D129" s="1"/>
      <c r="E129" s="1"/>
      <c r="U129" s="33" t="s">
        <v>1227</v>
      </c>
      <c r="V129" s="149">
        <v>707</v>
      </c>
      <c r="W129" s="101" t="s">
        <v>200</v>
      </c>
      <c r="X129" s="14">
        <f>C97</f>
        <v>9.5</v>
      </c>
      <c r="Y129" s="283">
        <f t="shared" si="49"/>
        <v>7</v>
      </c>
      <c r="Z129" s="14">
        <f>D97</f>
        <v>8.15</v>
      </c>
      <c r="AA129" s="283">
        <f t="shared" si="50"/>
        <v>8.0000000000000018</v>
      </c>
      <c r="AB129" s="69">
        <f>Table35155053537[[#This Row],[Floor4]]+Table35155053537[[#This Row],[Vault6]]</f>
        <v>17.649999999999999</v>
      </c>
      <c r="AC129" s="283">
        <f t="shared" si="51"/>
        <v>10</v>
      </c>
    </row>
    <row r="130" spans="1:29">
      <c r="A130" s="102"/>
      <c r="B130" s="110"/>
      <c r="C130" s="110"/>
      <c r="D130" s="110"/>
      <c r="E130" s="73"/>
      <c r="G130" s="102"/>
      <c r="H130" s="103"/>
      <c r="I130" s="73"/>
      <c r="J130" s="73"/>
      <c r="K130" s="73"/>
      <c r="U130" s="33" t="s">
        <v>1227</v>
      </c>
      <c r="V130" s="149">
        <v>708</v>
      </c>
      <c r="W130" s="101" t="s">
        <v>197</v>
      </c>
      <c r="X130" s="14">
        <f>C98</f>
        <v>9.4</v>
      </c>
      <c r="Y130" s="283">
        <f t="shared" si="49"/>
        <v>9</v>
      </c>
      <c r="Z130" s="14">
        <f>D98</f>
        <v>8.4</v>
      </c>
      <c r="AA130" s="283">
        <f t="shared" si="50"/>
        <v>4</v>
      </c>
      <c r="AB130" s="69">
        <f>Table35155053537[[#This Row],[Floor4]]+Table35155053537[[#This Row],[Vault6]]</f>
        <v>17.8</v>
      </c>
      <c r="AC130" s="283">
        <f t="shared" si="51"/>
        <v>7</v>
      </c>
    </row>
    <row r="131" spans="1:29">
      <c r="A131" s="102"/>
      <c r="B131" s="110"/>
      <c r="C131" s="110"/>
      <c r="D131" s="110"/>
      <c r="E131" s="73"/>
      <c r="G131" s="102"/>
      <c r="H131" s="103"/>
      <c r="I131" s="73"/>
      <c r="J131" s="73"/>
      <c r="K131" s="73"/>
      <c r="U131" s="33" t="s">
        <v>1227</v>
      </c>
      <c r="V131" s="149">
        <v>709</v>
      </c>
      <c r="W131" s="101" t="s">
        <v>198</v>
      </c>
      <c r="X131" s="14">
        <f>C99</f>
        <v>9.4499999999999993</v>
      </c>
      <c r="Y131" s="283">
        <f t="shared" si="49"/>
        <v>7.9999999999999991</v>
      </c>
      <c r="Z131" s="14">
        <f>D99</f>
        <v>8</v>
      </c>
      <c r="AA131" s="283">
        <f t="shared" si="50"/>
        <v>11</v>
      </c>
      <c r="AB131" s="69">
        <f>Table35155053537[[#This Row],[Floor4]]+Table35155053537[[#This Row],[Vault6]]</f>
        <v>17.45</v>
      </c>
      <c r="AC131" s="283">
        <f t="shared" si="51"/>
        <v>12</v>
      </c>
    </row>
    <row r="132" spans="1:29">
      <c r="A132" s="102"/>
      <c r="B132" s="110"/>
      <c r="C132" s="110"/>
      <c r="D132" s="110"/>
      <c r="E132" s="68"/>
      <c r="G132" s="102"/>
      <c r="H132" s="103"/>
      <c r="I132" s="73"/>
      <c r="J132" s="73"/>
      <c r="K132" s="68"/>
      <c r="U132" s="33" t="s">
        <v>1227</v>
      </c>
      <c r="V132" s="149">
        <v>710</v>
      </c>
      <c r="W132" s="242" t="s">
        <v>1240</v>
      </c>
      <c r="X132" s="14">
        <f>C100</f>
        <v>9.9</v>
      </c>
      <c r="Y132" s="283">
        <f t="shared" si="49"/>
        <v>2</v>
      </c>
      <c r="Z132" s="14">
        <f>D100</f>
        <v>8.4</v>
      </c>
      <c r="AA132" s="283">
        <f t="shared" si="50"/>
        <v>4</v>
      </c>
      <c r="AB132" s="69">
        <f>Table35155053537[[#This Row],[Floor4]]+Table35155053537[[#This Row],[Vault6]]</f>
        <v>18.3</v>
      </c>
      <c r="AC132" s="283">
        <f t="shared" si="51"/>
        <v>1</v>
      </c>
    </row>
    <row r="133" spans="1:29">
      <c r="A133" s="1"/>
      <c r="B133" s="104"/>
      <c r="C133" s="64"/>
      <c r="D133" s="64"/>
      <c r="E133" s="105"/>
      <c r="G133" s="1"/>
      <c r="H133" s="104"/>
      <c r="I133" s="64"/>
      <c r="J133" s="64"/>
      <c r="K133" s="105"/>
      <c r="U133" s="33" t="s">
        <v>1227</v>
      </c>
      <c r="V133" s="149">
        <v>712</v>
      </c>
      <c r="W133" s="101" t="s">
        <v>196</v>
      </c>
      <c r="X133" s="14">
        <f>I96</f>
        <v>9.15</v>
      </c>
      <c r="Y133" s="283">
        <f t="shared" si="49"/>
        <v>13.999999999999998</v>
      </c>
      <c r="Z133" s="14">
        <f>J96</f>
        <v>8.1</v>
      </c>
      <c r="AA133" s="283">
        <f t="shared" si="50"/>
        <v>9.0000000000000018</v>
      </c>
      <c r="AB133" s="69">
        <f>Table35155053537[[#This Row],[Floor4]]+Table35155053537[[#This Row],[Vault6]]</f>
        <v>17.25</v>
      </c>
      <c r="AC133" s="283">
        <f t="shared" si="51"/>
        <v>16</v>
      </c>
    </row>
    <row r="134" spans="1:29">
      <c r="U134" s="33" t="s">
        <v>1227</v>
      </c>
      <c r="V134" s="149">
        <v>713</v>
      </c>
      <c r="W134" s="101" t="s">
        <v>1241</v>
      </c>
      <c r="X134" s="14">
        <f t="shared" ref="X134:X137" si="60">I97</f>
        <v>8.65</v>
      </c>
      <c r="Y134" s="283">
        <f t="shared" si="49"/>
        <v>23.999999999999993</v>
      </c>
      <c r="Z134" s="14">
        <f t="shared" ref="Z134:Z136" si="61">J97</f>
        <v>8.0500000000000007</v>
      </c>
      <c r="AA134" s="283">
        <f t="shared" si="50"/>
        <v>10</v>
      </c>
      <c r="AB134" s="69">
        <f>Table35155053537[[#This Row],[Floor4]]+Table35155053537[[#This Row],[Vault6]]</f>
        <v>16.700000000000003</v>
      </c>
      <c r="AC134" s="283">
        <f t="shared" si="51"/>
        <v>24.999999999999996</v>
      </c>
    </row>
    <row r="135" spans="1:29">
      <c r="U135" s="33" t="s">
        <v>1227</v>
      </c>
      <c r="V135" s="149">
        <v>714</v>
      </c>
      <c r="W135" s="101" t="s">
        <v>1242</v>
      </c>
      <c r="X135" s="14">
        <f t="shared" si="60"/>
        <v>8.5500000000000007</v>
      </c>
      <c r="Y135" s="283">
        <f t="shared" ref="Y135:Y166" si="62">SUMPRODUCT((X$7:X$139&gt;X135)/COUNTIF(X$7:X$139,X$7:X$139&amp;""))+1</f>
        <v>25.999999999999989</v>
      </c>
      <c r="Z135" s="14">
        <f>J98</f>
        <v>7.7</v>
      </c>
      <c r="AA135" s="283">
        <f t="shared" ref="AA135:AA166" si="63">SUMPRODUCT((Z$7:Z$139&gt;Z135)/COUNTIF(Z$7:Z$139,Z$7:Z$139&amp;""))+1</f>
        <v>17.999999999999993</v>
      </c>
      <c r="AB135" s="69">
        <f>Table35155053537[[#This Row],[Floor4]]+Table35155053537[[#This Row],[Vault6]]</f>
        <v>16.25</v>
      </c>
      <c r="AC135" s="283">
        <f t="shared" ref="AC135:AC166" si="64">SUMPRODUCT((AB$7:AB$139&gt;AB135)/COUNTIF(AB$7:AB$139,AB$7:AB$139&amp;""))+1</f>
        <v>34</v>
      </c>
    </row>
    <row r="136" spans="1:29">
      <c r="U136" s="400" t="s">
        <v>1227</v>
      </c>
      <c r="V136" s="396">
        <v>715</v>
      </c>
      <c r="W136" s="449" t="s">
        <v>1243</v>
      </c>
      <c r="X136" s="401">
        <f>I99</f>
        <v>0</v>
      </c>
      <c r="Y136" s="402">
        <f t="shared" si="62"/>
        <v>40.000000000000028</v>
      </c>
      <c r="Z136" s="401">
        <f t="shared" si="61"/>
        <v>0</v>
      </c>
      <c r="AA136" s="402">
        <f t="shared" si="63"/>
        <v>33.999999999999993</v>
      </c>
      <c r="AB136" s="403">
        <f>Table35155053537[[#This Row],[Floor4]]+Table35155053537[[#This Row],[Vault6]]</f>
        <v>0</v>
      </c>
      <c r="AC136" s="402">
        <f t="shared" si="64"/>
        <v>53.000000000000007</v>
      </c>
    </row>
    <row r="137" spans="1:29">
      <c r="U137" s="33" t="s">
        <v>1227</v>
      </c>
      <c r="V137" s="149">
        <v>716</v>
      </c>
      <c r="W137" s="109" t="s">
        <v>1244</v>
      </c>
      <c r="X137" s="14">
        <f t="shared" si="60"/>
        <v>9.1999999999999993</v>
      </c>
      <c r="Y137" s="283">
        <f t="shared" si="62"/>
        <v>13</v>
      </c>
      <c r="Z137" s="14">
        <f>J100</f>
        <v>7.55</v>
      </c>
      <c r="AA137" s="283">
        <f t="shared" si="63"/>
        <v>20.999999999999989</v>
      </c>
      <c r="AB137" s="69">
        <f>Table35155053537[[#This Row],[Floor4]]+Table35155053537[[#This Row],[Vault6]]</f>
        <v>16.75</v>
      </c>
      <c r="AC137" s="283">
        <f t="shared" si="64"/>
        <v>23.999999999999996</v>
      </c>
    </row>
    <row r="138" spans="1:29">
      <c r="U138" s="287" t="s">
        <v>1054</v>
      </c>
      <c r="V138" s="293">
        <v>723</v>
      </c>
      <c r="W138" s="308" t="s">
        <v>1058</v>
      </c>
      <c r="X138" s="295">
        <f>'INT 11&amp;U MX'!D11</f>
        <v>9.15</v>
      </c>
      <c r="Y138" s="283">
        <f t="shared" si="62"/>
        <v>13.999999999999998</v>
      </c>
      <c r="Z138" s="295">
        <f>'INT 11&amp;U MX'!E11</f>
        <v>6.95</v>
      </c>
      <c r="AA138" s="283">
        <f t="shared" si="63"/>
        <v>30.999999999999993</v>
      </c>
      <c r="AB138" s="299">
        <f>Table35155053537[[#This Row],[Floor4]]+Table35155053537[[#This Row],[Vault6]]</f>
        <v>16.100000000000001</v>
      </c>
      <c r="AC138" s="283">
        <f t="shared" si="64"/>
        <v>36</v>
      </c>
    </row>
    <row r="139" spans="1:29">
      <c r="U139" s="290" t="s">
        <v>1054</v>
      </c>
      <c r="V139" s="294">
        <v>724</v>
      </c>
      <c r="W139" s="311" t="s">
        <v>1059</v>
      </c>
      <c r="X139" s="295">
        <f>'INT 11&amp;U MX'!D12</f>
        <v>9.25</v>
      </c>
      <c r="Y139" s="283">
        <f t="shared" si="62"/>
        <v>12</v>
      </c>
      <c r="Z139" s="295">
        <f>'INT 11&amp;U MX'!E12</f>
        <v>6.9</v>
      </c>
      <c r="AA139" s="283">
        <f t="shared" si="63"/>
        <v>31.999999999999993</v>
      </c>
      <c r="AB139" s="300">
        <f>Table35155053537[[#This Row],[Floor4]]+Table35155053537[[#This Row],[Vault6]]</f>
        <v>16.149999999999999</v>
      </c>
      <c r="AC139" s="283">
        <f t="shared" si="64"/>
        <v>35</v>
      </c>
    </row>
  </sheetData>
  <mergeCells count="3">
    <mergeCell ref="A1:AC1"/>
    <mergeCell ref="A2:AC2"/>
    <mergeCell ref="G4:I4"/>
  </mergeCells>
  <phoneticPr fontId="21" type="noConversion"/>
  <conditionalFormatting sqref="Y7:Y139 AA7:AA139 AC7:AC139 P95:P119">
    <cfRule type="cellIs" dxfId="752" priority="10" operator="equal">
      <formula>3</formula>
    </cfRule>
    <cfRule type="cellIs" dxfId="751" priority="11" operator="equal">
      <formula>2</formula>
    </cfRule>
    <cfRule type="cellIs" dxfId="750" priority="12" operator="equal">
      <formula>1</formula>
    </cfRule>
  </conditionalFormatting>
  <pageMargins left="0.75" right="0.75" top="1" bottom="1" header="0.5" footer="0.5"/>
  <pageSetup paperSize="9" scale="15" orientation="landscape" horizontalDpi="4294967292" verticalDpi="4294967292"/>
  <rowBreaks count="1" manualBreakCount="1">
    <brk id="140" max="16383" man="1"/>
  </rowBreaks>
  <colBreaks count="1" manualBreakCount="1">
    <brk id="29" max="1048575" man="1"/>
  </colBreaks>
  <ignoredErrors>
    <ignoredError sqref="X37 Z7:Z33 Z38:Z40 Z41:Z139 Z34:Z36 Z37" formula="1"/>
  </ignoredErrors>
  <tableParts count="2">
    <tablePart r:id="rId1"/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D24"/>
  <sheetViews>
    <sheetView zoomScale="90" zoomScaleNormal="90" zoomScalePageLayoutView="90" workbookViewId="0">
      <selection activeCell="A4" sqref="A4"/>
    </sheetView>
  </sheetViews>
  <sheetFormatPr defaultColWidth="8.875" defaultRowHeight="15.75"/>
  <cols>
    <col min="1" max="1" width="5.5" bestFit="1" customWidth="1"/>
    <col min="2" max="2" width="4.625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4.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  <col min="34" max="34" width="0.5" customWidth="1"/>
  </cols>
  <sheetData>
    <row r="1" spans="1:8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8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"/>
      <c r="BI2" s="2"/>
    </row>
    <row r="3" spans="1:82" ht="23.25"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21">
      <c r="F4" s="1"/>
      <c r="G4" s="1"/>
      <c r="H4" s="1"/>
      <c r="I4" s="1"/>
      <c r="J4" s="1"/>
      <c r="K4" s="1"/>
      <c r="L4" s="467" t="s">
        <v>1055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>
      <c r="V5" s="1"/>
    </row>
    <row r="6" spans="1:82">
      <c r="A6" s="470" t="s">
        <v>1047</v>
      </c>
      <c r="B6" s="471"/>
      <c r="C6" s="471"/>
      <c r="D6" s="471"/>
      <c r="E6" s="471"/>
      <c r="F6" s="472"/>
      <c r="G6" s="8"/>
      <c r="H6" s="8"/>
      <c r="I6" s="8"/>
      <c r="J6" s="8"/>
      <c r="K6" s="8"/>
      <c r="L6" s="113"/>
      <c r="M6" s="113"/>
      <c r="N6" s="113"/>
      <c r="O6" s="113"/>
      <c r="P6" s="113"/>
      <c r="Q6" s="113"/>
      <c r="R6" s="8"/>
      <c r="S6" s="8"/>
      <c r="T6" s="8"/>
      <c r="U6" s="8"/>
      <c r="V6" s="8"/>
      <c r="W6" s="113"/>
      <c r="X6" s="113"/>
      <c r="Y6" s="39" t="s">
        <v>12</v>
      </c>
      <c r="Z6" s="43" t="s">
        <v>5</v>
      </c>
      <c r="AA6" s="44" t="s">
        <v>11</v>
      </c>
      <c r="AB6" s="113"/>
      <c r="AC6" s="8"/>
      <c r="AD6" s="8"/>
      <c r="AE6" s="8"/>
      <c r="AF6" s="8"/>
      <c r="AG6" s="8"/>
    </row>
    <row r="7" spans="1:82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11"/>
      <c r="I7" s="11" t="s">
        <v>7</v>
      </c>
      <c r="J7" s="11"/>
      <c r="L7" s="111"/>
      <c r="M7" s="111"/>
      <c r="N7" s="111"/>
      <c r="O7" s="111"/>
      <c r="P7" s="111"/>
      <c r="Q7" s="111"/>
      <c r="R7" s="112" t="s">
        <v>6</v>
      </c>
      <c r="S7" s="11"/>
      <c r="T7" s="11" t="s">
        <v>7</v>
      </c>
      <c r="U7" s="11"/>
      <c r="W7" s="111"/>
      <c r="X7" s="111"/>
      <c r="Y7" s="45" t="s">
        <v>1285</v>
      </c>
      <c r="Z7" s="47">
        <f>F14</f>
        <v>64.400000000000006</v>
      </c>
      <c r="AA7" s="40">
        <f>SUMPRODUCT((Z$7:Z$7&gt;Z7)/COUNTIF(Z$7:Z$7,Z$7:Z$7&amp;""))+1</f>
        <v>1</v>
      </c>
      <c r="AB7" s="111"/>
      <c r="AC7" s="112" t="s">
        <v>6</v>
      </c>
      <c r="AD7" s="11"/>
      <c r="AE7" s="11" t="s">
        <v>7</v>
      </c>
      <c r="AF7" s="11"/>
    </row>
    <row r="8" spans="1:82">
      <c r="A8" s="12" t="s">
        <v>8</v>
      </c>
      <c r="B8" s="149">
        <v>720</v>
      </c>
      <c r="C8" s="93" t="s">
        <v>1056</v>
      </c>
      <c r="D8" s="13">
        <v>9.0500000000000007</v>
      </c>
      <c r="E8" s="13">
        <v>7.75</v>
      </c>
      <c r="F8" s="13">
        <f>SUM(D8:E8)</f>
        <v>16.8</v>
      </c>
      <c r="G8" s="11">
        <f t="shared" ref="G8:G13" si="0">IF(A8="M",D8)</f>
        <v>9.0500000000000007</v>
      </c>
      <c r="H8" s="11" t="b">
        <f t="shared" ref="H8:H13" si="1">IF(A8="F",D8)</f>
        <v>0</v>
      </c>
      <c r="I8" s="11">
        <f t="shared" ref="I8:I13" si="2">IF(A8="M",E8)</f>
        <v>7.75</v>
      </c>
      <c r="J8" s="11" t="b">
        <f t="shared" ref="J8:J13" si="3">IF(A8="F",E8)</f>
        <v>0</v>
      </c>
      <c r="L8" s="102"/>
      <c r="M8" s="152"/>
      <c r="N8" s="110"/>
      <c r="O8" s="73"/>
      <c r="P8" s="73"/>
      <c r="Q8" s="73"/>
      <c r="R8" s="11" t="b">
        <f t="shared" ref="R8:R13" si="4">IF(L8="M",O8)</f>
        <v>0</v>
      </c>
      <c r="S8" s="11" t="b">
        <f t="shared" ref="S8:S13" si="5">IF(L8="F",O8)</f>
        <v>0</v>
      </c>
      <c r="T8" s="11" t="b">
        <f t="shared" ref="T8:T13" si="6">IF(L8="M",P8)</f>
        <v>0</v>
      </c>
      <c r="U8" s="11" t="b">
        <f t="shared" ref="U8:U13" si="7">IF(L8="F",P8)</f>
        <v>0</v>
      </c>
      <c r="W8" s="102"/>
      <c r="X8" s="152"/>
      <c r="Y8" s="54"/>
      <c r="Z8" s="62"/>
      <c r="AA8" s="210"/>
      <c r="AB8" s="73"/>
      <c r="AC8" s="11" t="b">
        <f>IF(W8="M",#REF!)</f>
        <v>0</v>
      </c>
      <c r="AD8" s="11" t="b">
        <f>IF(W8="F",#REF!)</f>
        <v>0</v>
      </c>
      <c r="AE8" s="11" t="b">
        <f>IF(W8="M",#REF!)</f>
        <v>0</v>
      </c>
      <c r="AF8" s="11" t="b">
        <f>IF(W8="F",#REF!)</f>
        <v>0</v>
      </c>
    </row>
    <row r="9" spans="1:82">
      <c r="A9" s="12" t="s">
        <v>8</v>
      </c>
      <c r="B9" s="149">
        <v>721</v>
      </c>
      <c r="C9" s="93" t="s">
        <v>1057</v>
      </c>
      <c r="D9" s="13">
        <v>8.25</v>
      </c>
      <c r="E9" s="13">
        <v>7.1</v>
      </c>
      <c r="F9" s="13">
        <f>SUM(D9:E9)</f>
        <v>15.35</v>
      </c>
      <c r="G9" s="11">
        <f t="shared" si="0"/>
        <v>8.25</v>
      </c>
      <c r="H9" s="11" t="b">
        <f t="shared" si="1"/>
        <v>0</v>
      </c>
      <c r="I9" s="11">
        <f t="shared" si="2"/>
        <v>7.1</v>
      </c>
      <c r="J9" s="11" t="b">
        <f t="shared" si="3"/>
        <v>0</v>
      </c>
      <c r="L9" s="102"/>
      <c r="M9" s="152"/>
      <c r="N9" s="110"/>
      <c r="O9" s="73"/>
      <c r="P9" s="73"/>
      <c r="Q9" s="73"/>
      <c r="R9" s="11" t="b">
        <f t="shared" si="4"/>
        <v>0</v>
      </c>
      <c r="S9" s="11" t="b">
        <f t="shared" si="5"/>
        <v>0</v>
      </c>
      <c r="T9" s="11" t="b">
        <f t="shared" si="6"/>
        <v>0</v>
      </c>
      <c r="U9" s="11" t="b">
        <f t="shared" si="7"/>
        <v>0</v>
      </c>
      <c r="W9" s="102"/>
      <c r="X9" s="152"/>
      <c r="Y9" s="110"/>
      <c r="Z9" s="68"/>
      <c r="AA9" s="68"/>
      <c r="AB9" s="73"/>
      <c r="AC9" s="11" t="b">
        <f>IF(W9="M",#REF!)</f>
        <v>0</v>
      </c>
      <c r="AD9" s="11" t="b">
        <f>IF(W9="F",#REF!)</f>
        <v>0</v>
      </c>
      <c r="AE9" s="11" t="b">
        <f>IF(W9="M",#REF!)</f>
        <v>0</v>
      </c>
      <c r="AF9" s="11" t="b">
        <f>IF(W9="F",#REF!)</f>
        <v>0</v>
      </c>
    </row>
    <row r="10" spans="1:82">
      <c r="A10" s="12" t="s">
        <v>8</v>
      </c>
      <c r="B10" s="149">
        <v>722</v>
      </c>
      <c r="C10" s="229"/>
      <c r="D10" s="13">
        <v>0</v>
      </c>
      <c r="E10" s="13">
        <v>0</v>
      </c>
      <c r="F10" s="13">
        <f t="shared" ref="F10:F13" si="8">SUM(D10:E10)</f>
        <v>0</v>
      </c>
      <c r="G10" s="11">
        <f t="shared" si="0"/>
        <v>0</v>
      </c>
      <c r="H10" s="11" t="b">
        <f t="shared" si="1"/>
        <v>0</v>
      </c>
      <c r="I10" s="11">
        <f t="shared" si="2"/>
        <v>0</v>
      </c>
      <c r="J10" s="11" t="b">
        <f t="shared" si="3"/>
        <v>0</v>
      </c>
      <c r="L10" s="102"/>
      <c r="M10" s="152"/>
      <c r="N10" s="110"/>
      <c r="O10" s="73"/>
      <c r="P10" s="73"/>
      <c r="Q10" s="73"/>
      <c r="R10" s="11" t="b">
        <f t="shared" si="4"/>
        <v>0</v>
      </c>
      <c r="S10" s="11" t="b">
        <f t="shared" si="5"/>
        <v>0</v>
      </c>
      <c r="T10" s="11" t="b">
        <f t="shared" si="6"/>
        <v>0</v>
      </c>
      <c r="U10" s="11" t="b">
        <f t="shared" si="7"/>
        <v>0</v>
      </c>
      <c r="W10" s="102"/>
      <c r="X10" s="152"/>
      <c r="Y10" s="110"/>
      <c r="Z10" s="68"/>
      <c r="AA10" s="68"/>
      <c r="AB10" s="73"/>
      <c r="AC10" s="11" t="b">
        <f>IF(W10="M",#REF!)</f>
        <v>0</v>
      </c>
      <c r="AD10" s="11" t="b">
        <f>IF(W10="F",#REF!)</f>
        <v>0</v>
      </c>
      <c r="AE10" s="11" t="b">
        <f>IF(W10="M",#REF!)</f>
        <v>0</v>
      </c>
      <c r="AF10" s="11" t="b">
        <f>IF(W10="F",#REF!)</f>
        <v>0</v>
      </c>
    </row>
    <row r="11" spans="1:82">
      <c r="A11" s="12" t="s">
        <v>9</v>
      </c>
      <c r="B11" s="149">
        <v>723</v>
      </c>
      <c r="C11" s="93" t="s">
        <v>1058</v>
      </c>
      <c r="D11" s="14">
        <v>9.15</v>
      </c>
      <c r="E11" s="14">
        <v>6.95</v>
      </c>
      <c r="F11" s="13">
        <f t="shared" si="8"/>
        <v>16.100000000000001</v>
      </c>
      <c r="G11" s="15" t="b">
        <f t="shared" si="0"/>
        <v>0</v>
      </c>
      <c r="H11" s="15">
        <f t="shared" si="1"/>
        <v>9.15</v>
      </c>
      <c r="I11" s="15" t="b">
        <f t="shared" si="2"/>
        <v>0</v>
      </c>
      <c r="J11" s="15">
        <f t="shared" si="3"/>
        <v>6.95</v>
      </c>
      <c r="K11" s="8"/>
      <c r="L11" s="102"/>
      <c r="M11" s="152"/>
      <c r="N11" s="110"/>
      <c r="O11" s="68"/>
      <c r="P11" s="68"/>
      <c r="Q11" s="73"/>
      <c r="R11" s="15" t="b">
        <f t="shared" si="4"/>
        <v>0</v>
      </c>
      <c r="S11" s="15" t="b">
        <f t="shared" si="5"/>
        <v>0</v>
      </c>
      <c r="T11" s="15" t="b">
        <f t="shared" si="6"/>
        <v>0</v>
      </c>
      <c r="U11" s="15" t="b">
        <f t="shared" si="7"/>
        <v>0</v>
      </c>
      <c r="V11" s="8"/>
      <c r="W11" s="102"/>
      <c r="X11" s="152"/>
      <c r="Y11" s="110"/>
      <c r="Z11" s="68"/>
      <c r="AA11" s="68"/>
      <c r="AB11" s="73"/>
      <c r="AC11" s="15" t="b">
        <f>IF(W11="M",#REF!)</f>
        <v>0</v>
      </c>
      <c r="AD11" s="15" t="b">
        <f>IF(W11="F",#REF!)</f>
        <v>0</v>
      </c>
      <c r="AE11" s="15" t="b">
        <f>IF(W11="M",#REF!)</f>
        <v>0</v>
      </c>
      <c r="AF11" s="15" t="b">
        <f>IF(W11="F",#REF!)</f>
        <v>0</v>
      </c>
      <c r="AG11" s="8"/>
    </row>
    <row r="12" spans="1:82">
      <c r="A12" s="12" t="s">
        <v>9</v>
      </c>
      <c r="B12" s="149">
        <v>724</v>
      </c>
      <c r="C12" s="93" t="s">
        <v>1059</v>
      </c>
      <c r="D12" s="14">
        <v>9.25</v>
      </c>
      <c r="E12" s="14">
        <v>6.9</v>
      </c>
      <c r="F12" s="13">
        <f t="shared" si="8"/>
        <v>16.149999999999999</v>
      </c>
      <c r="G12" s="15" t="b">
        <f t="shared" si="0"/>
        <v>0</v>
      </c>
      <c r="H12" s="15">
        <f t="shared" si="1"/>
        <v>9.25</v>
      </c>
      <c r="I12" s="15" t="b">
        <f t="shared" si="2"/>
        <v>0</v>
      </c>
      <c r="J12" s="15">
        <f t="shared" si="3"/>
        <v>6.9</v>
      </c>
      <c r="K12" s="8"/>
      <c r="L12" s="102"/>
      <c r="M12" s="152"/>
      <c r="N12" s="110"/>
      <c r="O12" s="68"/>
      <c r="P12" s="68"/>
      <c r="Q12" s="73"/>
      <c r="R12" s="15" t="b">
        <f t="shared" si="4"/>
        <v>0</v>
      </c>
      <c r="S12" s="15" t="b">
        <f t="shared" si="5"/>
        <v>0</v>
      </c>
      <c r="T12" s="15" t="b">
        <f t="shared" si="6"/>
        <v>0</v>
      </c>
      <c r="U12" s="15" t="b">
        <f t="shared" si="7"/>
        <v>0</v>
      </c>
      <c r="V12" s="8"/>
      <c r="W12" s="102"/>
      <c r="X12" s="152"/>
      <c r="Y12" s="84"/>
      <c r="Z12" s="64"/>
      <c r="AA12" s="64"/>
      <c r="AB12" s="73"/>
      <c r="AC12" s="15" t="b">
        <f>IF(W12="M",Z8)</f>
        <v>0</v>
      </c>
      <c r="AD12" s="15" t="b">
        <f>IF(W12="F",Z8)</f>
        <v>0</v>
      </c>
      <c r="AE12" s="15" t="b">
        <f>IF(W12="M",AA8)</f>
        <v>0</v>
      </c>
      <c r="AF12" s="15" t="b">
        <f>IF(W12="F",AA8)</f>
        <v>0</v>
      </c>
      <c r="AG12" s="8"/>
    </row>
    <row r="13" spans="1:82" ht="16.5" thickBot="1">
      <c r="A13" s="12" t="s">
        <v>9</v>
      </c>
      <c r="B13" s="149">
        <v>725</v>
      </c>
      <c r="C13" s="97"/>
      <c r="D13" s="14">
        <v>0</v>
      </c>
      <c r="E13" s="14">
        <v>0</v>
      </c>
      <c r="F13" s="13">
        <f t="shared" si="8"/>
        <v>0</v>
      </c>
      <c r="G13" s="15" t="b">
        <f t="shared" si="0"/>
        <v>0</v>
      </c>
      <c r="H13" s="15">
        <f t="shared" si="1"/>
        <v>0</v>
      </c>
      <c r="I13" s="15" t="b">
        <f t="shared" si="2"/>
        <v>0</v>
      </c>
      <c r="J13" s="15">
        <f t="shared" si="3"/>
        <v>0</v>
      </c>
      <c r="K13" s="8"/>
      <c r="L13" s="102"/>
      <c r="M13" s="152"/>
      <c r="N13" s="110"/>
      <c r="O13" s="68"/>
      <c r="P13" s="68"/>
      <c r="Q13" s="73"/>
      <c r="R13" s="15" t="b">
        <f t="shared" si="4"/>
        <v>0</v>
      </c>
      <c r="S13" s="15" t="b">
        <f t="shared" si="5"/>
        <v>0</v>
      </c>
      <c r="T13" s="15" t="b">
        <f t="shared" si="6"/>
        <v>0</v>
      </c>
      <c r="U13" s="15" t="b">
        <f t="shared" si="7"/>
        <v>0</v>
      </c>
      <c r="V13" s="8"/>
      <c r="W13" s="102"/>
      <c r="X13" s="152"/>
      <c r="AB13" s="73"/>
      <c r="AC13" s="15" t="b">
        <f>IF(W13="M",Z9)</f>
        <v>0</v>
      </c>
      <c r="AD13" s="15" t="b">
        <f>IF(W13="F",Z9)</f>
        <v>0</v>
      </c>
      <c r="AE13" s="15" t="b">
        <f>IF(W13="M",AA9)</f>
        <v>0</v>
      </c>
      <c r="AF13" s="15" t="b">
        <f>IF(W13="F",AA9)</f>
        <v>0</v>
      </c>
      <c r="AG13" s="8"/>
    </row>
    <row r="14" spans="1:82" ht="16.5" thickBot="1">
      <c r="A14" s="8"/>
      <c r="B14" s="8"/>
      <c r="C14" s="18" t="s">
        <v>10</v>
      </c>
      <c r="D14" s="19">
        <f>G15+H15</f>
        <v>35.700000000000003</v>
      </c>
      <c r="E14" s="19">
        <f>I15+J15</f>
        <v>28.700000000000003</v>
      </c>
      <c r="F14" s="20">
        <f>SUM(D14:E14)</f>
        <v>64.400000000000006</v>
      </c>
      <c r="G14" s="8">
        <f>COUNTIF(A8:A13,"M")</f>
        <v>3</v>
      </c>
      <c r="H14" s="8">
        <f>COUNTIF(A8:A13,"F")</f>
        <v>3</v>
      </c>
      <c r="I14" s="8">
        <f>COUNTIF(A8:A13,"M")</f>
        <v>3</v>
      </c>
      <c r="J14" s="8">
        <f>COUNTIF(A8:A13,"F")</f>
        <v>3</v>
      </c>
      <c r="K14" s="8"/>
      <c r="L14" s="106"/>
      <c r="M14" s="106"/>
      <c r="N14" s="84"/>
      <c r="O14" s="64"/>
      <c r="P14" s="64"/>
      <c r="Q14" s="105"/>
      <c r="R14" s="8">
        <f>COUNTIF(L8:L13,"M")</f>
        <v>0</v>
      </c>
      <c r="S14" s="8">
        <f>COUNTIF(L8:L13,"F")</f>
        <v>0</v>
      </c>
      <c r="T14" s="8">
        <f>COUNTIF(L8:L13,"M")</f>
        <v>0</v>
      </c>
      <c r="U14" s="8">
        <f>COUNTIF(L8:L13,"F")</f>
        <v>0</v>
      </c>
      <c r="V14" s="8"/>
      <c r="W14" s="106"/>
      <c r="X14" s="106"/>
      <c r="AB14" s="105"/>
      <c r="AC14" s="8">
        <f>COUNTIF(W8:W13,"M")</f>
        <v>0</v>
      </c>
      <c r="AD14" s="8">
        <f>COUNTIF(W8:W13,"F")</f>
        <v>0</v>
      </c>
      <c r="AE14" s="8">
        <f>COUNTIF(W8:W13,"M")</f>
        <v>0</v>
      </c>
      <c r="AF14" s="8">
        <f>COUNTIF(W8:W13,"F")</f>
        <v>0</v>
      </c>
      <c r="AG14" s="8"/>
    </row>
    <row r="15" spans="1:82">
      <c r="C15" s="94" t="s">
        <v>1302</v>
      </c>
      <c r="D15" s="8"/>
      <c r="E15" s="18"/>
      <c r="F15" s="22"/>
      <c r="G15" s="23">
        <f>IF(G14=2,SUM(G8:G13),IF(G14=3,SUM(G8:G13)-SMALL(G8:G13,1),IF(G14=4,SUM(G8:G13)-SMALL(G8:G13,1)-SMALL(G8:G13,2))))</f>
        <v>17.3</v>
      </c>
      <c r="H15" s="23">
        <f>IF(H14=2,SUM(H8:H13),IF(H14=3,SUM(H8:H13)-SMALL(H8:H13,1),IF(H14=4,SUM(H8:H13)-SMALL(H8:H13,1)-SMALL(H8:H13,2))))</f>
        <v>18.399999999999999</v>
      </c>
      <c r="I15" s="23">
        <f>IF(I14=2,SUM(I8:I13),IF(I14=3,SUM(I8:I13)-SMALL(I8:I13,1),IF(I14=4,SUM(I8:I13)-SMALL(I8:I13,1)-SMALL(I8:I13,2))))</f>
        <v>14.85</v>
      </c>
      <c r="J15" s="23">
        <f>IF(J14=2,SUM(J8:J13),IF(J14=3,SUM(J8:J13)-SMALL(J8:J13,1),IF(J14=4,SUM(J8:J13)-SMALL(J8:J13,1)-SMALL(J8:J13,2))))</f>
        <v>13.850000000000001</v>
      </c>
      <c r="K15" s="8"/>
      <c r="O15" s="8"/>
      <c r="P15" s="18"/>
      <c r="Q15" s="22"/>
      <c r="R15" s="23" t="b">
        <f>IF(R14=2,SUM(R8:R13),IF(R14=3,SUM(R8:R13)-SMALL(R8:R13,1),IF(R14=4,SUM(R8:R13)-SMALL(R8:R13,1)-SMALL(R8:R13,2))))</f>
        <v>0</v>
      </c>
      <c r="S15" s="23" t="b">
        <f>IF(S14=2,SUM(S8:S13),IF(S14=3,SUM(S8:S13)-SMALL(S8:S13,1),IF(S14=4,SUM(S8:S13)-SMALL(S8:S13,1)-SMALL(S8:S13,2))))</f>
        <v>0</v>
      </c>
      <c r="T15" s="23" t="b">
        <f>IF(T14=2,SUM(T8:T13),IF(T14=3,SUM(T8:T13)-SMALL(T8:T13,1),IF(T14=4,SUM(T8:T13)-SMALL(T8:T13,1)-SMALL(T8:T13,2))))</f>
        <v>0</v>
      </c>
      <c r="U15" s="23" t="b">
        <f>IF(U14=2,SUM(U8:U13),IF(U14=3,SUM(U8:U13)-SMALL(U8:U13,1),IF(U14=4,SUM(U8:U13)-SMALL(U8:U13,1)-SMALL(U8:U13,2))))</f>
        <v>0</v>
      </c>
      <c r="V15" s="8"/>
    </row>
    <row r="16" spans="1:82">
      <c r="A16" s="222"/>
      <c r="B16" s="222"/>
      <c r="C16" s="222"/>
      <c r="D16" s="222"/>
      <c r="E16" s="222"/>
      <c r="F16" s="222"/>
    </row>
    <row r="17" spans="1:6">
      <c r="A17" s="111"/>
      <c r="B17" s="111"/>
      <c r="C17" s="111"/>
      <c r="D17" s="111"/>
      <c r="E17" s="111"/>
      <c r="F17" s="111"/>
    </row>
    <row r="18" spans="1:6">
      <c r="A18" s="102"/>
      <c r="B18" s="152"/>
      <c r="C18" s="110"/>
      <c r="D18" s="73"/>
      <c r="E18" s="73"/>
      <c r="F18" s="73"/>
    </row>
    <row r="19" spans="1:6">
      <c r="A19" s="102"/>
      <c r="B19" s="152"/>
      <c r="C19" s="110"/>
      <c r="D19" s="73"/>
      <c r="E19" s="73"/>
      <c r="F19" s="73"/>
    </row>
    <row r="20" spans="1:6">
      <c r="A20" s="102"/>
      <c r="B20" s="152"/>
      <c r="C20" s="110"/>
      <c r="D20" s="73"/>
      <c r="E20" s="73"/>
      <c r="F20" s="73"/>
    </row>
    <row r="21" spans="1:6">
      <c r="A21" s="102"/>
      <c r="B21" s="152"/>
      <c r="C21" s="110"/>
      <c r="D21" s="68"/>
      <c r="E21" s="68"/>
      <c r="F21" s="73"/>
    </row>
    <row r="22" spans="1:6">
      <c r="A22" s="102"/>
      <c r="B22" s="152"/>
      <c r="C22" s="110"/>
      <c r="D22" s="68"/>
      <c r="E22" s="68"/>
      <c r="F22" s="73"/>
    </row>
    <row r="23" spans="1:6">
      <c r="A23" s="102"/>
      <c r="B23" s="152"/>
      <c r="C23" s="110"/>
      <c r="D23" s="68"/>
      <c r="E23" s="68"/>
      <c r="F23" s="73"/>
    </row>
    <row r="24" spans="1:6">
      <c r="A24" s="106"/>
      <c r="B24" s="106"/>
      <c r="C24" s="84"/>
      <c r="D24" s="64"/>
      <c r="E24" s="64"/>
      <c r="F24" s="105"/>
    </row>
  </sheetData>
  <mergeCells count="4">
    <mergeCell ref="A1:AB1"/>
    <mergeCell ref="A2:AB2"/>
    <mergeCell ref="L4:O4"/>
    <mergeCell ref="A6:F6"/>
  </mergeCells>
  <phoneticPr fontId="21" type="noConversion"/>
  <conditionalFormatting sqref="AA7">
    <cfRule type="cellIs" dxfId="733" priority="1" operator="equal">
      <formula>3</formula>
    </cfRule>
    <cfRule type="cellIs" dxfId="732" priority="2" operator="equal">
      <formula>2</formula>
    </cfRule>
    <cfRule type="cellIs" dxfId="731" priority="3" operator="equal">
      <formula>1</formula>
    </cfRule>
  </conditionalFormatting>
  <pageMargins left="0.7" right="0.7" top="0.75" bottom="0.75" header="0.3" footer="0.3"/>
  <pageSetup paperSize="9" scale="71" orientation="landscape" horizontalDpi="0" verticalDpi="0"/>
  <colBreaks count="1" manualBreakCount="1">
    <brk id="33" max="1048575" man="1"/>
  </colBreaks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27"/>
  <sheetViews>
    <sheetView topLeftCell="B1" zoomScale="90" zoomScaleNormal="92" zoomScalePageLayoutView="92" workbookViewId="0">
      <selection activeCell="A4" sqref="A4"/>
    </sheetView>
  </sheetViews>
  <sheetFormatPr defaultColWidth="8.875" defaultRowHeight="15.75"/>
  <cols>
    <col min="1" max="1" width="4.87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19.125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625" customWidth="1"/>
    <col min="22" max="22" width="6.375" customWidth="1"/>
    <col min="23" max="23" width="23" bestFit="1" customWidth="1"/>
    <col min="24" max="24" width="9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138"/>
      <c r="AE1" s="138"/>
      <c r="AF1" s="138"/>
      <c r="AG1" s="138"/>
      <c r="AH1" s="138"/>
      <c r="AI1" s="138"/>
      <c r="AJ1" s="138"/>
      <c r="AK1" s="138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s="32" customFormat="1" ht="21" customHeight="1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139"/>
      <c r="AE2" s="139"/>
      <c r="AF2" s="139"/>
      <c r="AG2" s="139"/>
      <c r="AH2" s="139"/>
      <c r="AI2" s="139"/>
      <c r="AJ2" s="139"/>
      <c r="AK2" s="3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"/>
      <c r="BR2" s="2"/>
    </row>
    <row r="3" spans="1:70" ht="28.5" customHeight="1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A4" s="8"/>
      <c r="E4" s="1"/>
      <c r="F4" s="1"/>
      <c r="G4" s="461" t="s">
        <v>120</v>
      </c>
      <c r="H4" s="462"/>
      <c r="I4" s="463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6" spans="1:70" s="8" customFormat="1">
      <c r="A6" s="146" t="s">
        <v>555</v>
      </c>
      <c r="B6" s="135"/>
      <c r="C6" s="135"/>
      <c r="D6" s="135"/>
      <c r="E6" s="136"/>
      <c r="G6" s="333" t="s">
        <v>388</v>
      </c>
      <c r="H6" s="156"/>
      <c r="I6" s="156"/>
      <c r="J6" s="156"/>
      <c r="K6" s="157"/>
      <c r="L6" s="106"/>
      <c r="M6" s="164"/>
      <c r="N6" s="39" t="s">
        <v>12</v>
      </c>
      <c r="O6" s="43" t="s">
        <v>5</v>
      </c>
      <c r="P6" s="44" t="s">
        <v>11</v>
      </c>
      <c r="Q6" s="233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L7" s="1"/>
      <c r="M7" s="111"/>
      <c r="N7" s="54" t="s">
        <v>555</v>
      </c>
      <c r="O7" s="73">
        <f>E14</f>
        <v>69.800000000000011</v>
      </c>
      <c r="P7" s="40">
        <f>SUMPRODUCT((O$7:O$8&gt;O7)/COUNTIF(O$7:O$8,O$7:O$8&amp;""))+1</f>
        <v>2</v>
      </c>
      <c r="Q7" s="111"/>
      <c r="U7" s="16" t="s">
        <v>983</v>
      </c>
      <c r="V7" s="149">
        <v>726</v>
      </c>
      <c r="W7" s="93" t="s">
        <v>993</v>
      </c>
      <c r="X7" s="14">
        <f>C8</f>
        <v>8.8000000000000007</v>
      </c>
      <c r="Y7" s="283">
        <f>SUMPRODUCT((X$7:X$20&gt;X7)/COUNTIF(X$7:X$20,X$7:X$20&amp;""))+1</f>
        <v>5</v>
      </c>
      <c r="Z7" s="14">
        <f>D8</f>
        <v>8.1999999999999993</v>
      </c>
      <c r="AA7" s="283">
        <f>SUMPRODUCT((Z$7:Z$20&gt;Z7)/COUNTIF(Z$7:Z$20,Z$7:Z$20&amp;""))+1</f>
        <v>12</v>
      </c>
      <c r="AB7" s="315">
        <f>Table35121314244567[[#This Row],[Floor]]+Table35121314244567[[#This Row],[Vault]]</f>
        <v>17</v>
      </c>
      <c r="AC7" s="283">
        <f>SUMPRODUCT((AB$7:AB$20&gt;AB7)/COUNTIF(AB$7:AB$20,AB$7:AB$20&amp;""))+1</f>
        <v>11</v>
      </c>
    </row>
    <row r="8" spans="1:70">
      <c r="A8" s="149">
        <v>726</v>
      </c>
      <c r="B8" s="93" t="s">
        <v>993</v>
      </c>
      <c r="C8" s="13">
        <v>8.8000000000000007</v>
      </c>
      <c r="D8" s="13">
        <v>8.1999999999999993</v>
      </c>
      <c r="E8" s="13">
        <f>SUM(C8,D8)</f>
        <v>17</v>
      </c>
      <c r="G8" s="149">
        <v>732</v>
      </c>
      <c r="H8" s="93" t="s">
        <v>406</v>
      </c>
      <c r="I8" s="13">
        <v>8.8000000000000007</v>
      </c>
      <c r="J8" s="13">
        <v>9.0500000000000007</v>
      </c>
      <c r="K8" s="13">
        <f>SUM(I8,J8)</f>
        <v>17.850000000000001</v>
      </c>
      <c r="L8" s="1"/>
      <c r="M8" s="152"/>
      <c r="N8" s="45" t="s">
        <v>397</v>
      </c>
      <c r="O8" s="47">
        <f>K14</f>
        <v>73.5</v>
      </c>
      <c r="P8" s="40">
        <f>SUMPRODUCT((O$7:O$8&gt;O8)/COUNTIF(O$7:O$8,O$7:O$8&amp;""))+1</f>
        <v>1</v>
      </c>
      <c r="Q8" s="73"/>
      <c r="U8" s="16" t="s">
        <v>983</v>
      </c>
      <c r="V8" s="149">
        <v>727</v>
      </c>
      <c r="W8" s="93" t="s">
        <v>381</v>
      </c>
      <c r="X8" s="14">
        <f t="shared" ref="X8:X9" si="0">C9</f>
        <v>7.5</v>
      </c>
      <c r="Y8" s="283">
        <f t="shared" ref="Y8:Y20" si="1">SUMPRODUCT((X$7:X$20&gt;X8)/COUNTIF(X$7:X$20,X$7:X$20&amp;""))+1</f>
        <v>10</v>
      </c>
      <c r="Z8" s="14">
        <f t="shared" ref="Z8:Z9" si="2">D9</f>
        <v>8.9</v>
      </c>
      <c r="AA8" s="283">
        <f t="shared" ref="AA8:AA20" si="3">SUMPRODUCT((Z$7:Z$20&gt;Z8)/COUNTIF(Z$7:Z$20,Z$7:Z$20&amp;""))+1</f>
        <v>5</v>
      </c>
      <c r="AB8" s="315">
        <f>Table35121314244567[[#This Row],[Floor]]+Table35121314244567[[#This Row],[Vault]]</f>
        <v>16.399999999999999</v>
      </c>
      <c r="AC8" s="283">
        <f t="shared" ref="AC8:AC20" si="4">SUMPRODUCT((AB$7:AB$20&gt;AB8)/COUNTIF(AB$7:AB$20,AB$7:AB$20&amp;""))+1</f>
        <v>13</v>
      </c>
    </row>
    <row r="9" spans="1:70">
      <c r="A9" s="149">
        <v>727</v>
      </c>
      <c r="B9" s="93" t="s">
        <v>381</v>
      </c>
      <c r="C9" s="13">
        <v>7.5</v>
      </c>
      <c r="D9" s="13">
        <v>8.9</v>
      </c>
      <c r="E9" s="13">
        <f t="shared" ref="E9:E13" si="5">SUM(C9,D9)</f>
        <v>16.399999999999999</v>
      </c>
      <c r="G9" s="149">
        <v>733</v>
      </c>
      <c r="H9" s="93" t="s">
        <v>409</v>
      </c>
      <c r="I9" s="13">
        <v>9.1999999999999993</v>
      </c>
      <c r="J9" s="13">
        <v>9.15</v>
      </c>
      <c r="K9" s="13">
        <f t="shared" ref="K9:K13" si="6">SUM(I9,J9)</f>
        <v>18.350000000000001</v>
      </c>
      <c r="L9" s="1"/>
      <c r="M9" s="152"/>
      <c r="N9" s="110"/>
      <c r="O9" s="73"/>
      <c r="P9" s="73"/>
      <c r="Q9" s="73"/>
      <c r="U9" s="16" t="s">
        <v>983</v>
      </c>
      <c r="V9" s="149">
        <v>728</v>
      </c>
      <c r="W9" s="93" t="s">
        <v>994</v>
      </c>
      <c r="X9" s="14">
        <f t="shared" si="0"/>
        <v>8.4</v>
      </c>
      <c r="Y9" s="283">
        <f t="shared" si="1"/>
        <v>7.9999999999999991</v>
      </c>
      <c r="Z9" s="14">
        <f t="shared" si="2"/>
        <v>9</v>
      </c>
      <c r="AA9" s="283">
        <f t="shared" si="3"/>
        <v>4</v>
      </c>
      <c r="AB9" s="315">
        <f>Table35121314244567[[#This Row],[Floor]]+Table35121314244567[[#This Row],[Vault]]</f>
        <v>17.399999999999999</v>
      </c>
      <c r="AC9" s="283">
        <f t="shared" si="4"/>
        <v>6</v>
      </c>
    </row>
    <row r="10" spans="1:70">
      <c r="A10" s="149">
        <v>728</v>
      </c>
      <c r="B10" s="93" t="s">
        <v>994</v>
      </c>
      <c r="C10" s="13">
        <v>8.4</v>
      </c>
      <c r="D10" s="13">
        <v>9</v>
      </c>
      <c r="E10" s="13">
        <f t="shared" si="5"/>
        <v>17.399999999999999</v>
      </c>
      <c r="G10" s="149">
        <v>734</v>
      </c>
      <c r="H10" s="93" t="s">
        <v>407</v>
      </c>
      <c r="I10" s="13">
        <v>9.6999999999999993</v>
      </c>
      <c r="J10" s="13">
        <v>8.3000000000000007</v>
      </c>
      <c r="K10" s="13">
        <f t="shared" si="6"/>
        <v>18</v>
      </c>
      <c r="L10" s="1"/>
      <c r="M10" s="102"/>
      <c r="N10" s="110"/>
      <c r="O10" s="73"/>
      <c r="P10" s="73"/>
      <c r="Q10" s="73"/>
      <c r="U10" s="16" t="s">
        <v>983</v>
      </c>
      <c r="V10" s="149">
        <v>729</v>
      </c>
      <c r="W10" s="93" t="s">
        <v>382</v>
      </c>
      <c r="X10" s="14">
        <f>C11</f>
        <v>9.1</v>
      </c>
      <c r="Y10" s="283">
        <f t="shared" si="1"/>
        <v>4</v>
      </c>
      <c r="Z10" s="14">
        <f>D11</f>
        <v>8.8000000000000007</v>
      </c>
      <c r="AA10" s="283">
        <f t="shared" si="3"/>
        <v>6</v>
      </c>
      <c r="AB10" s="315">
        <f>Table35121314244567[[#This Row],[Floor]]+Table35121314244567[[#This Row],[Vault]]</f>
        <v>17.899999999999999</v>
      </c>
      <c r="AC10" s="283">
        <f t="shared" si="4"/>
        <v>4</v>
      </c>
    </row>
    <row r="11" spans="1:70">
      <c r="A11" s="149">
        <v>729</v>
      </c>
      <c r="B11" s="93" t="s">
        <v>382</v>
      </c>
      <c r="C11" s="13">
        <v>9.1</v>
      </c>
      <c r="D11" s="13">
        <v>8.8000000000000007</v>
      </c>
      <c r="E11" s="13">
        <f t="shared" si="5"/>
        <v>17.899999999999999</v>
      </c>
      <c r="G11" s="149">
        <v>735</v>
      </c>
      <c r="H11" s="93" t="s">
        <v>414</v>
      </c>
      <c r="I11" s="13">
        <v>9.6</v>
      </c>
      <c r="J11" s="13">
        <v>9.4499999999999993</v>
      </c>
      <c r="K11" s="13">
        <f t="shared" si="6"/>
        <v>19.049999999999997</v>
      </c>
      <c r="L11" s="1"/>
      <c r="M11" s="102"/>
      <c r="N11" s="110"/>
      <c r="O11" s="73"/>
      <c r="P11" s="73"/>
      <c r="Q11" s="73"/>
      <c r="U11" s="16" t="s">
        <v>983</v>
      </c>
      <c r="V11" s="149">
        <v>730</v>
      </c>
      <c r="W11" s="93" t="s">
        <v>995</v>
      </c>
      <c r="X11" s="14">
        <f>C12</f>
        <v>8.3000000000000007</v>
      </c>
      <c r="Y11" s="283">
        <f t="shared" si="1"/>
        <v>9</v>
      </c>
      <c r="Z11" s="14">
        <f>D12</f>
        <v>8.5</v>
      </c>
      <c r="AA11" s="283">
        <f t="shared" si="3"/>
        <v>8</v>
      </c>
      <c r="AB11" s="315">
        <f>Table35121314244567[[#This Row],[Floor]]+Table35121314244567[[#This Row],[Vault]]</f>
        <v>16.8</v>
      </c>
      <c r="AC11" s="283">
        <f t="shared" si="4"/>
        <v>12</v>
      </c>
    </row>
    <row r="12" spans="1:70">
      <c r="A12" s="149">
        <v>730</v>
      </c>
      <c r="B12" s="93" t="s">
        <v>995</v>
      </c>
      <c r="C12" s="13">
        <v>8.3000000000000007</v>
      </c>
      <c r="D12" s="13">
        <v>8.5</v>
      </c>
      <c r="E12" s="13">
        <f t="shared" si="5"/>
        <v>16.8</v>
      </c>
      <c r="G12" s="149">
        <v>736</v>
      </c>
      <c r="H12" s="100" t="s">
        <v>1345</v>
      </c>
      <c r="I12" s="13">
        <v>8.5</v>
      </c>
      <c r="J12" s="13">
        <v>8.5500000000000007</v>
      </c>
      <c r="K12" s="13">
        <f t="shared" si="6"/>
        <v>17.05</v>
      </c>
      <c r="L12" s="1"/>
      <c r="M12" s="102"/>
      <c r="N12" s="110"/>
      <c r="O12" s="73"/>
      <c r="P12" s="73"/>
      <c r="Q12" s="73"/>
      <c r="U12" s="16" t="s">
        <v>391</v>
      </c>
      <c r="V12" s="149">
        <v>732</v>
      </c>
      <c r="W12" s="93" t="s">
        <v>406</v>
      </c>
      <c r="X12" s="13">
        <f>I8</f>
        <v>8.8000000000000007</v>
      </c>
      <c r="Y12" s="283">
        <f t="shared" si="1"/>
        <v>5</v>
      </c>
      <c r="Z12" s="13">
        <f>J8</f>
        <v>9.0500000000000007</v>
      </c>
      <c r="AA12" s="283">
        <f t="shared" si="3"/>
        <v>3</v>
      </c>
      <c r="AB12" s="315">
        <f>Table35121314244567[[#This Row],[Floor]]+Table35121314244567[[#This Row],[Vault]]</f>
        <v>17.850000000000001</v>
      </c>
      <c r="AC12" s="283">
        <f t="shared" si="4"/>
        <v>5</v>
      </c>
    </row>
    <row r="13" spans="1:70" ht="16.5" thickBot="1">
      <c r="A13" s="149">
        <v>731</v>
      </c>
      <c r="B13" s="97"/>
      <c r="C13" s="13">
        <v>0</v>
      </c>
      <c r="D13" s="13">
        <v>0</v>
      </c>
      <c r="E13" s="13">
        <f t="shared" si="5"/>
        <v>0</v>
      </c>
      <c r="F13" s="8"/>
      <c r="G13" s="149">
        <v>737</v>
      </c>
      <c r="H13" s="97"/>
      <c r="I13" s="13">
        <v>0</v>
      </c>
      <c r="J13" s="13">
        <v>0</v>
      </c>
      <c r="K13" s="13">
        <f t="shared" si="6"/>
        <v>0</v>
      </c>
      <c r="L13" s="106"/>
      <c r="M13" s="102"/>
      <c r="N13" s="110"/>
      <c r="O13" s="73"/>
      <c r="P13" s="73"/>
      <c r="Q13" s="68"/>
      <c r="U13" s="16" t="s">
        <v>391</v>
      </c>
      <c r="V13" s="149">
        <v>733</v>
      </c>
      <c r="W13" s="93" t="s">
        <v>409</v>
      </c>
      <c r="X13" s="13">
        <f t="shared" ref="X13" si="7">I9</f>
        <v>9.1999999999999993</v>
      </c>
      <c r="Y13" s="283">
        <f t="shared" si="1"/>
        <v>3</v>
      </c>
      <c r="Z13" s="13">
        <f t="shared" ref="Z13:Z14" si="8">J9</f>
        <v>9.15</v>
      </c>
      <c r="AA13" s="283">
        <f t="shared" si="3"/>
        <v>2</v>
      </c>
      <c r="AB13" s="315">
        <f>Table35121314244567[[#This Row],[Floor]]+Table35121314244567[[#This Row],[Vault]]</f>
        <v>18.350000000000001</v>
      </c>
      <c r="AC13" s="283">
        <f t="shared" si="4"/>
        <v>2</v>
      </c>
    </row>
    <row r="14" spans="1:70" ht="16.5" thickBot="1">
      <c r="B14" s="25" t="s">
        <v>10</v>
      </c>
      <c r="C14" s="19">
        <f>SUM(C8:C13)-SMALL(C8:C13,1)-SMALL(C8:C13,2)</f>
        <v>34.600000000000009</v>
      </c>
      <c r="D14" s="19">
        <f>SUM(D8:D13)-SMALL(D8:D13,1)-SMALL(D8:D13,2)</f>
        <v>35.200000000000003</v>
      </c>
      <c r="E14" s="20">
        <f>SUM(C14:D14)</f>
        <v>69.800000000000011</v>
      </c>
      <c r="F14" s="8"/>
      <c r="H14" s="25" t="s">
        <v>10</v>
      </c>
      <c r="I14" s="19">
        <f>SUM(I8:I13)-SMALL(I8:I13,1)-SMALL(I8:I13,2)</f>
        <v>37.299999999999997</v>
      </c>
      <c r="J14" s="19">
        <f>SUM(J8:J13)-SMALL(J8:J13,1)-SMALL(J8:J13,2)</f>
        <v>36.200000000000003</v>
      </c>
      <c r="K14" s="20">
        <f>SUM(I14:J14)</f>
        <v>73.5</v>
      </c>
      <c r="L14" s="106"/>
      <c r="M14" s="1"/>
      <c r="N14" s="104"/>
      <c r="O14" s="64"/>
      <c r="P14" s="64"/>
      <c r="Q14" s="105"/>
      <c r="U14" s="16" t="s">
        <v>391</v>
      </c>
      <c r="V14" s="149">
        <v>734</v>
      </c>
      <c r="W14" s="93" t="s">
        <v>407</v>
      </c>
      <c r="X14" s="13">
        <f>I10</f>
        <v>9.6999999999999993</v>
      </c>
      <c r="Y14" s="283">
        <f t="shared" si="1"/>
        <v>1</v>
      </c>
      <c r="Z14" s="13">
        <f t="shared" si="8"/>
        <v>8.3000000000000007</v>
      </c>
      <c r="AA14" s="283">
        <f t="shared" si="3"/>
        <v>11</v>
      </c>
      <c r="AB14" s="315">
        <f>Table35121314244567[[#This Row],[Floor]]+Table35121314244567[[#This Row],[Vault]]</f>
        <v>18</v>
      </c>
      <c r="AC14" s="283">
        <f t="shared" si="4"/>
        <v>3</v>
      </c>
    </row>
    <row r="15" spans="1:70">
      <c r="B15" s="94" t="s">
        <v>37</v>
      </c>
      <c r="D15" s="25"/>
      <c r="E15" s="26"/>
      <c r="H15" s="94" t="s">
        <v>37</v>
      </c>
      <c r="J15" s="25"/>
      <c r="K15" s="26"/>
      <c r="L15" s="1"/>
      <c r="M15" s="1"/>
      <c r="N15" s="121"/>
      <c r="O15" s="1"/>
      <c r="P15" s="104"/>
      <c r="Q15" s="115"/>
      <c r="U15" s="16" t="s">
        <v>391</v>
      </c>
      <c r="V15" s="149">
        <v>735</v>
      </c>
      <c r="W15" s="93" t="s">
        <v>414</v>
      </c>
      <c r="X15" s="13">
        <f>I11</f>
        <v>9.6</v>
      </c>
      <c r="Y15" s="283">
        <f t="shared" si="1"/>
        <v>2</v>
      </c>
      <c r="Z15" s="13">
        <f>J11</f>
        <v>9.4499999999999993</v>
      </c>
      <c r="AA15" s="283">
        <f t="shared" si="3"/>
        <v>1</v>
      </c>
      <c r="AB15" s="315">
        <f>Table35121314244567[[#This Row],[Floor]]+Table35121314244567[[#This Row],[Vault]]</f>
        <v>19.049999999999997</v>
      </c>
      <c r="AC15" s="283">
        <f t="shared" si="4"/>
        <v>1</v>
      </c>
    </row>
    <row r="16" spans="1:70">
      <c r="H16" s="77"/>
      <c r="I16" s="77"/>
      <c r="J16" s="77"/>
      <c r="Q16" s="41"/>
      <c r="R16" s="41"/>
      <c r="S16" s="41"/>
      <c r="T16" s="41"/>
      <c r="U16" s="120" t="s">
        <v>391</v>
      </c>
      <c r="V16" s="149">
        <v>736</v>
      </c>
      <c r="W16" s="124" t="s">
        <v>1345</v>
      </c>
      <c r="X16" s="13">
        <f>I12</f>
        <v>8.5</v>
      </c>
      <c r="Y16" s="283">
        <f t="shared" si="1"/>
        <v>6.9999999999999991</v>
      </c>
      <c r="Z16" s="13">
        <f>J12</f>
        <v>8.5500000000000007</v>
      </c>
      <c r="AA16" s="283">
        <f t="shared" si="3"/>
        <v>7</v>
      </c>
      <c r="AB16" s="315">
        <f>Table35121314244567[[#This Row],[Floor]]+Table35121314244567[[#This Row],[Vault]]</f>
        <v>17.05</v>
      </c>
      <c r="AC16" s="283">
        <f t="shared" si="4"/>
        <v>10</v>
      </c>
    </row>
    <row r="17" spans="1:29">
      <c r="F17" s="106"/>
      <c r="G17" s="137"/>
      <c r="H17" s="107"/>
      <c r="I17" s="68"/>
      <c r="J17" s="68"/>
      <c r="K17" s="137"/>
      <c r="U17" s="307" t="s">
        <v>1049</v>
      </c>
      <c r="V17" s="341">
        <v>830</v>
      </c>
      <c r="W17" s="345" t="s">
        <v>1060</v>
      </c>
      <c r="X17" s="295">
        <f>'INT 13&amp;U MX'!D8</f>
        <v>8.6999999999999993</v>
      </c>
      <c r="Y17" s="283">
        <f t="shared" si="1"/>
        <v>5.9999999999999991</v>
      </c>
      <c r="Z17" s="295">
        <f>'INT 13&amp;U MX'!E8</f>
        <v>8.5</v>
      </c>
      <c r="AA17" s="283">
        <f t="shared" si="3"/>
        <v>8</v>
      </c>
      <c r="AB17" s="317">
        <f>Table35121314244567[[#This Row],[Floor]]+Table35121314244567[[#This Row],[Vault]]</f>
        <v>17.2</v>
      </c>
      <c r="AC17" s="283">
        <f t="shared" si="4"/>
        <v>8</v>
      </c>
    </row>
    <row r="18" spans="1:29">
      <c r="F18" s="106"/>
      <c r="G18" s="77"/>
      <c r="H18" s="106"/>
      <c r="I18" s="106"/>
      <c r="J18" s="106"/>
      <c r="K18" s="77"/>
      <c r="U18" s="309" t="s">
        <v>1049</v>
      </c>
      <c r="V18" s="347">
        <v>831</v>
      </c>
      <c r="W18" s="346" t="s">
        <v>1061</v>
      </c>
      <c r="X18" s="295">
        <f>'INT 13&amp;U MX'!D9</f>
        <v>8.4</v>
      </c>
      <c r="Y18" s="283">
        <f t="shared" si="1"/>
        <v>7.9999999999999991</v>
      </c>
      <c r="Z18" s="295">
        <f>'INT 13&amp;U MX'!E9</f>
        <v>8.4</v>
      </c>
      <c r="AA18" s="283">
        <f t="shared" si="3"/>
        <v>9</v>
      </c>
      <c r="AB18" s="343">
        <f>Table35121314244567[[#This Row],[Floor]]+Table35121314244567[[#This Row],[Vault]]</f>
        <v>16.8</v>
      </c>
      <c r="AC18" s="283">
        <f t="shared" si="4"/>
        <v>12</v>
      </c>
    </row>
    <row r="19" spans="1:29">
      <c r="F19" s="106"/>
      <c r="G19" s="80"/>
      <c r="H19" s="106"/>
      <c r="I19" s="106"/>
      <c r="J19" s="106"/>
      <c r="K19" s="68"/>
      <c r="N19" s="54"/>
      <c r="O19" s="73"/>
      <c r="P19" s="210"/>
      <c r="U19" s="307" t="s">
        <v>1227</v>
      </c>
      <c r="V19" s="341">
        <v>836</v>
      </c>
      <c r="W19" s="345" t="s">
        <v>203</v>
      </c>
      <c r="X19" s="295">
        <f>'INT 13&amp;U MX'!O8</f>
        <v>8.8000000000000007</v>
      </c>
      <c r="Y19" s="283">
        <f t="shared" si="1"/>
        <v>5</v>
      </c>
      <c r="Z19" s="295">
        <f>'INT 13&amp;U MX'!P8</f>
        <v>8.35</v>
      </c>
      <c r="AA19" s="283">
        <f t="shared" si="3"/>
        <v>10</v>
      </c>
      <c r="AB19" s="317">
        <f>Table35121314244567[[#This Row],[Floor]]+Table35121314244567[[#This Row],[Vault]]</f>
        <v>17.149999999999999</v>
      </c>
      <c r="AC19" s="283">
        <f t="shared" si="4"/>
        <v>9</v>
      </c>
    </row>
    <row r="20" spans="1:29">
      <c r="F20" s="106"/>
      <c r="G20" s="106"/>
      <c r="H20" s="106"/>
      <c r="I20" s="106"/>
      <c r="J20" s="106"/>
      <c r="K20" s="106"/>
      <c r="U20" s="307" t="s">
        <v>1227</v>
      </c>
      <c r="V20" s="347">
        <v>837</v>
      </c>
      <c r="W20" s="346" t="s">
        <v>194</v>
      </c>
      <c r="X20" s="295">
        <f>'INT 13&amp;U MX'!O9</f>
        <v>8.5</v>
      </c>
      <c r="Y20" s="283">
        <f t="shared" si="1"/>
        <v>6.9999999999999991</v>
      </c>
      <c r="Z20" s="295">
        <f>'INT 13&amp;U MX'!P9</f>
        <v>8.8000000000000007</v>
      </c>
      <c r="AA20" s="283">
        <f t="shared" si="3"/>
        <v>6</v>
      </c>
      <c r="AB20" s="343">
        <f>Table35121314244567[[#This Row],[Floor]]+Table35121314244567[[#This Row],[Vault]]</f>
        <v>17.3</v>
      </c>
      <c r="AC20" s="283">
        <f t="shared" si="4"/>
        <v>7</v>
      </c>
    </row>
    <row r="21" spans="1:29">
      <c r="A21" s="137"/>
      <c r="B21" s="137"/>
      <c r="C21" s="137"/>
      <c r="D21" s="137"/>
      <c r="E21" s="137"/>
      <c r="F21" s="106"/>
      <c r="G21" s="106"/>
      <c r="H21" s="106"/>
      <c r="I21" s="106"/>
      <c r="J21" s="106"/>
      <c r="K21" s="106"/>
    </row>
    <row r="22" spans="1:29">
      <c r="A22" s="77"/>
      <c r="B22" s="77"/>
      <c r="C22" s="77"/>
      <c r="D22" s="77"/>
      <c r="E22" s="77"/>
      <c r="F22" s="106"/>
      <c r="G22" s="106"/>
      <c r="K22" s="106"/>
    </row>
    <row r="23" spans="1:29">
      <c r="A23" s="141"/>
      <c r="B23" s="107"/>
      <c r="C23" s="68"/>
      <c r="D23" s="68"/>
      <c r="E23" s="68"/>
      <c r="F23" s="106"/>
      <c r="G23" s="106"/>
      <c r="K23" s="106"/>
    </row>
    <row r="27" spans="1:29">
      <c r="B27" s="8"/>
    </row>
  </sheetData>
  <mergeCells count="3">
    <mergeCell ref="A1:AC1"/>
    <mergeCell ref="A2:AC2"/>
    <mergeCell ref="G4:I4"/>
  </mergeCells>
  <phoneticPr fontId="21" type="noConversion"/>
  <conditionalFormatting sqref="Y7:Y20">
    <cfRule type="cellIs" dxfId="727" priority="7" operator="equal">
      <formula>3</formula>
    </cfRule>
    <cfRule type="cellIs" dxfId="726" priority="8" operator="equal">
      <formula>2</formula>
    </cfRule>
    <cfRule type="cellIs" dxfId="725" priority="9" operator="equal">
      <formula>1</formula>
    </cfRule>
  </conditionalFormatting>
  <conditionalFormatting sqref="P7:P8">
    <cfRule type="cellIs" dxfId="724" priority="10" operator="equal">
      <formula>3</formula>
    </cfRule>
    <cfRule type="cellIs" dxfId="723" priority="11" operator="equal">
      <formula>2</formula>
    </cfRule>
    <cfRule type="cellIs" dxfId="722" priority="12" operator="equal">
      <formula>1</formula>
    </cfRule>
  </conditionalFormatting>
  <conditionalFormatting sqref="AA7:AA20">
    <cfRule type="cellIs" dxfId="721" priority="4" operator="equal">
      <formula>3</formula>
    </cfRule>
    <cfRule type="cellIs" dxfId="720" priority="5" operator="equal">
      <formula>2</formula>
    </cfRule>
    <cfRule type="cellIs" dxfId="719" priority="6" operator="equal">
      <formula>1</formula>
    </cfRule>
  </conditionalFormatting>
  <conditionalFormatting sqref="AC7:AC20">
    <cfRule type="cellIs" dxfId="718" priority="1" operator="equal">
      <formula>3</formula>
    </cfRule>
    <cfRule type="cellIs" dxfId="717" priority="2" operator="equal">
      <formula>2</formula>
    </cfRule>
    <cfRule type="cellIs" dxfId="716" priority="3" operator="equal">
      <formula>1</formula>
    </cfRule>
  </conditionalFormatting>
  <pageMargins left="0.75" right="0.75" top="1" bottom="1" header="0.5" footer="0.5"/>
  <pageSetup paperSize="9" scale="53" orientation="landscape" horizontalDpi="4294967292" verticalDpi="4294967292"/>
  <colBreaks count="1" manualBreakCount="1">
    <brk id="29" max="1048575" man="1"/>
  </colBreaks>
  <ignoredErrors>
    <ignoredError sqref="Z7:Z18 Z19:Z20" formula="1"/>
  </ignoredErrors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J117"/>
  <sheetViews>
    <sheetView topLeftCell="A100" zoomScale="90" zoomScaleNormal="90" zoomScalePageLayoutView="90" workbookViewId="0">
      <selection activeCell="A4" sqref="A4"/>
    </sheetView>
  </sheetViews>
  <sheetFormatPr defaultColWidth="8.875" defaultRowHeight="15.75"/>
  <cols>
    <col min="1" max="1" width="4.875" customWidth="1"/>
    <col min="2" max="2" width="23.5" bestFit="1" customWidth="1"/>
    <col min="3" max="5" width="7.5" customWidth="1"/>
    <col min="6" max="6" width="0.5" customWidth="1"/>
    <col min="7" max="7" width="4.625" bestFit="1" customWidth="1"/>
    <col min="8" max="8" width="22" customWidth="1"/>
    <col min="9" max="11" width="7.5" customWidth="1"/>
    <col min="12" max="12" width="0.5" customWidth="1"/>
    <col min="13" max="13" width="4.625" bestFit="1" customWidth="1"/>
    <col min="14" max="14" width="22" customWidth="1"/>
    <col min="15" max="17" width="7.5" customWidth="1"/>
    <col min="18" max="18" width="0.375" customWidth="1"/>
    <col min="19" max="19" width="0.5" customWidth="1"/>
    <col min="20" max="20" width="1.875" bestFit="1" customWidth="1"/>
    <col min="21" max="22" width="8" customWidth="1"/>
    <col min="23" max="23" width="23.125" customWidth="1"/>
    <col min="24" max="24" width="10.5" customWidth="1"/>
    <col min="25" max="25" width="5" style="53" customWidth="1"/>
    <col min="26" max="26" width="9.375" customWidth="1"/>
    <col min="27" max="27" width="5.625" style="57" customWidth="1"/>
    <col min="28" max="28" width="9.375" style="39" customWidth="1"/>
    <col min="29" max="29" width="5.5" style="60" customWidth="1"/>
  </cols>
  <sheetData>
    <row r="1" spans="1:6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"/>
      <c r="BJ2" s="2"/>
    </row>
    <row r="3" spans="1:62" ht="23.25">
      <c r="A3" s="8"/>
      <c r="B3" s="8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">
      <c r="E4" s="1"/>
      <c r="F4" s="1"/>
      <c r="G4" s="464" t="s">
        <v>109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62" s="8" customFormat="1">
      <c r="A6" s="348" t="s">
        <v>578</v>
      </c>
      <c r="B6" s="349"/>
      <c r="C6" s="349"/>
      <c r="D6" s="349"/>
      <c r="E6" s="350"/>
      <c r="G6" s="348" t="s">
        <v>606</v>
      </c>
      <c r="H6" s="349"/>
      <c r="I6" s="349"/>
      <c r="J6" s="349"/>
      <c r="K6" s="350"/>
      <c r="M6" s="348" t="s">
        <v>607</v>
      </c>
      <c r="N6" s="349"/>
      <c r="O6" s="71"/>
      <c r="P6" s="71"/>
      <c r="Q6" s="72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62">
      <c r="A7" s="354" t="s">
        <v>1</v>
      </c>
      <c r="B7" s="354" t="s">
        <v>2</v>
      </c>
      <c r="C7" s="354" t="s">
        <v>3</v>
      </c>
      <c r="D7" s="354" t="s">
        <v>4</v>
      </c>
      <c r="E7" s="354" t="s">
        <v>5</v>
      </c>
      <c r="F7" s="8"/>
      <c r="G7" s="354" t="s">
        <v>1</v>
      </c>
      <c r="H7" s="354" t="s">
        <v>2</v>
      </c>
      <c r="I7" s="354" t="s">
        <v>3</v>
      </c>
      <c r="J7" s="354" t="s">
        <v>4</v>
      </c>
      <c r="K7" s="354" t="s">
        <v>5</v>
      </c>
      <c r="L7" s="8"/>
      <c r="M7" s="354" t="s">
        <v>1</v>
      </c>
      <c r="N7" s="354" t="s">
        <v>2</v>
      </c>
      <c r="O7" s="9" t="s">
        <v>3</v>
      </c>
      <c r="P7" s="9" t="s">
        <v>4</v>
      </c>
      <c r="Q7" s="9" t="s">
        <v>5</v>
      </c>
      <c r="U7" s="406" t="s">
        <v>583</v>
      </c>
      <c r="V7" s="408">
        <v>25</v>
      </c>
      <c r="W7" s="397" t="s">
        <v>584</v>
      </c>
      <c r="X7" s="401">
        <f>C8</f>
        <v>0</v>
      </c>
      <c r="Y7" s="402">
        <f t="shared" ref="Y7:AA38" si="0">SUMPRODUCT((X$7:X$117&gt;X7)/COUNTIF(X$7:X$117,X$7:X$117&amp;""))+1</f>
        <v>41.000000000000021</v>
      </c>
      <c r="Z7" s="401">
        <f>D8</f>
        <v>0</v>
      </c>
      <c r="AA7" s="402">
        <f t="shared" si="0"/>
        <v>28.999999999999982</v>
      </c>
      <c r="AB7" s="403">
        <f>Table351550[[#This Row],[Floor4]]+Table351550[[#This Row],[Vault6]]</f>
        <v>0</v>
      </c>
      <c r="AC7" s="402">
        <f t="shared" ref="AC7" si="1">SUMPRODUCT((AB$7:AB$117&gt;AB7)/COUNTIF(AB$7:AB$117,AB$7:AB$117&amp;""))+1</f>
        <v>63.000000000000007</v>
      </c>
    </row>
    <row r="8" spans="1:62">
      <c r="A8" s="408">
        <v>25</v>
      </c>
      <c r="B8" s="410" t="s">
        <v>584</v>
      </c>
      <c r="C8" s="401">
        <v>0</v>
      </c>
      <c r="D8" s="401">
        <v>0</v>
      </c>
      <c r="E8" s="401">
        <f>SUM(C8,D8)</f>
        <v>0</v>
      </c>
      <c r="F8" s="8"/>
      <c r="G8" s="150">
        <v>31</v>
      </c>
      <c r="H8" s="95" t="s">
        <v>600</v>
      </c>
      <c r="I8" s="14">
        <v>8.25</v>
      </c>
      <c r="J8" s="14">
        <v>7.1</v>
      </c>
      <c r="K8" s="14">
        <f>SUM(I8,J8)</f>
        <v>15.35</v>
      </c>
      <c r="L8" s="8"/>
      <c r="M8" s="150">
        <v>37</v>
      </c>
      <c r="N8" s="95" t="s">
        <v>608</v>
      </c>
      <c r="O8" s="13">
        <v>7.95</v>
      </c>
      <c r="P8" s="13">
        <v>6.6</v>
      </c>
      <c r="Q8" s="13">
        <f>SUM(O8,P8)</f>
        <v>14.55</v>
      </c>
      <c r="U8" s="16" t="s">
        <v>583</v>
      </c>
      <c r="V8" s="150">
        <v>26</v>
      </c>
      <c r="W8" s="93" t="s">
        <v>585</v>
      </c>
      <c r="X8" s="14">
        <f t="shared" ref="X8:X12" si="2">C9</f>
        <v>8.75</v>
      </c>
      <c r="Y8" s="283">
        <f t="shared" si="0"/>
        <v>9.9999999999999982</v>
      </c>
      <c r="Z8" s="14">
        <f t="shared" ref="Z8:Z12" si="3">D9</f>
        <v>7.6</v>
      </c>
      <c r="AA8" s="283">
        <f t="shared" si="0"/>
        <v>8</v>
      </c>
      <c r="AB8" s="69">
        <f>Table351550[[#This Row],[Floor4]]+Table351550[[#This Row],[Vault6]]</f>
        <v>16.350000000000001</v>
      </c>
      <c r="AC8" s="283">
        <f t="shared" ref="AC8" si="4">SUMPRODUCT((AB$7:AB$117&gt;AB8)/COUNTIF(AB$7:AB$117,AB$7:AB$117&amp;""))+1</f>
        <v>11</v>
      </c>
    </row>
    <row r="9" spans="1:62">
      <c r="A9" s="150">
        <v>26</v>
      </c>
      <c r="B9" s="95" t="s">
        <v>585</v>
      </c>
      <c r="C9" s="14">
        <v>8.75</v>
      </c>
      <c r="D9" s="14">
        <v>7.6</v>
      </c>
      <c r="E9" s="14">
        <f t="shared" ref="E9:E13" si="5">SUM(C9,D9)</f>
        <v>16.350000000000001</v>
      </c>
      <c r="F9" s="8"/>
      <c r="G9" s="150">
        <v>32</v>
      </c>
      <c r="H9" s="16" t="s">
        <v>601</v>
      </c>
      <c r="I9" s="14">
        <v>8.85</v>
      </c>
      <c r="J9" s="14">
        <v>7.6</v>
      </c>
      <c r="K9" s="14">
        <f t="shared" ref="K9:K13" si="6">SUM(I9,J9)</f>
        <v>16.45</v>
      </c>
      <c r="L9" s="8"/>
      <c r="M9" s="150">
        <v>38</v>
      </c>
      <c r="N9" s="95" t="s">
        <v>609</v>
      </c>
      <c r="O9" s="13">
        <v>8.4499999999999993</v>
      </c>
      <c r="P9" s="13">
        <v>6.3</v>
      </c>
      <c r="Q9" s="13">
        <f t="shared" ref="Q9:Q13" si="7">SUM(O9,P9)</f>
        <v>14.75</v>
      </c>
      <c r="U9" s="16" t="s">
        <v>583</v>
      </c>
      <c r="V9" s="150">
        <v>27</v>
      </c>
      <c r="W9" s="93" t="s">
        <v>586</v>
      </c>
      <c r="X9" s="14">
        <f t="shared" si="2"/>
        <v>8.8000000000000007</v>
      </c>
      <c r="Y9" s="283">
        <f t="shared" si="0"/>
        <v>9</v>
      </c>
      <c r="Z9" s="14">
        <f t="shared" si="3"/>
        <v>7.4</v>
      </c>
      <c r="AA9" s="283">
        <f t="shared" si="0"/>
        <v>10</v>
      </c>
      <c r="AB9" s="69">
        <f>Table351550[[#This Row],[Floor4]]+Table351550[[#This Row],[Vault6]]</f>
        <v>16.200000000000003</v>
      </c>
      <c r="AC9" s="283">
        <f t="shared" ref="AC9" si="8">SUMPRODUCT((AB$7:AB$117&gt;AB9)/COUNTIF(AB$7:AB$117,AB$7:AB$117&amp;""))+1</f>
        <v>13</v>
      </c>
    </row>
    <row r="10" spans="1:62">
      <c r="A10" s="150">
        <v>27</v>
      </c>
      <c r="B10" s="95" t="s">
        <v>586</v>
      </c>
      <c r="C10" s="14">
        <v>8.8000000000000007</v>
      </c>
      <c r="D10" s="14">
        <v>7.4</v>
      </c>
      <c r="E10" s="14">
        <f t="shared" si="5"/>
        <v>16.200000000000003</v>
      </c>
      <c r="F10" s="8"/>
      <c r="G10" s="150">
        <v>33</v>
      </c>
      <c r="H10" s="16" t="s">
        <v>602</v>
      </c>
      <c r="I10" s="14">
        <v>9.15</v>
      </c>
      <c r="J10" s="14">
        <v>7.7</v>
      </c>
      <c r="K10" s="14">
        <f t="shared" si="6"/>
        <v>16.850000000000001</v>
      </c>
      <c r="L10" s="8"/>
      <c r="M10" s="150">
        <v>39</v>
      </c>
      <c r="N10" s="95" t="s">
        <v>610</v>
      </c>
      <c r="O10" s="13">
        <v>7.75</v>
      </c>
      <c r="P10" s="13">
        <v>6.1</v>
      </c>
      <c r="Q10" s="13">
        <f t="shared" si="7"/>
        <v>13.85</v>
      </c>
      <c r="U10" s="16" t="s">
        <v>583</v>
      </c>
      <c r="V10" s="150">
        <v>28</v>
      </c>
      <c r="W10" s="93" t="s">
        <v>587</v>
      </c>
      <c r="X10" s="14">
        <f t="shared" si="2"/>
        <v>9.1999999999999993</v>
      </c>
      <c r="Y10" s="283">
        <f t="shared" si="0"/>
        <v>2</v>
      </c>
      <c r="Z10" s="14">
        <f>D11</f>
        <v>7.2</v>
      </c>
      <c r="AA10" s="283">
        <f t="shared" si="0"/>
        <v>11.999999999999996</v>
      </c>
      <c r="AB10" s="69">
        <f>Table351550[[#This Row],[Floor4]]+Table351550[[#This Row],[Vault6]]</f>
        <v>16.399999999999999</v>
      </c>
      <c r="AC10" s="283">
        <f t="shared" ref="AC10" si="9">SUMPRODUCT((AB$7:AB$117&gt;AB10)/COUNTIF(AB$7:AB$117,AB$7:AB$117&amp;""))+1</f>
        <v>10</v>
      </c>
    </row>
    <row r="11" spans="1:62">
      <c r="A11" s="150">
        <v>28</v>
      </c>
      <c r="B11" s="95" t="s">
        <v>587</v>
      </c>
      <c r="C11" s="14">
        <v>9.1999999999999993</v>
      </c>
      <c r="D11" s="14">
        <v>7.2</v>
      </c>
      <c r="E11" s="14">
        <f t="shared" si="5"/>
        <v>16.399999999999999</v>
      </c>
      <c r="F11" s="8"/>
      <c r="G11" s="150">
        <v>34</v>
      </c>
      <c r="H11" s="95" t="s">
        <v>603</v>
      </c>
      <c r="I11" s="14">
        <v>8.0500000000000007</v>
      </c>
      <c r="J11" s="14">
        <v>6.3</v>
      </c>
      <c r="K11" s="14">
        <f t="shared" si="6"/>
        <v>14.350000000000001</v>
      </c>
      <c r="L11" s="8"/>
      <c r="M11" s="150">
        <v>40</v>
      </c>
      <c r="N11" s="95" t="s">
        <v>611</v>
      </c>
      <c r="O11" s="13">
        <v>8.6999999999999993</v>
      </c>
      <c r="P11" s="13">
        <v>6</v>
      </c>
      <c r="Q11" s="13">
        <f t="shared" si="7"/>
        <v>14.7</v>
      </c>
      <c r="U11" s="16" t="s">
        <v>583</v>
      </c>
      <c r="V11" s="150">
        <v>29</v>
      </c>
      <c r="W11" s="93" t="s">
        <v>588</v>
      </c>
      <c r="X11" s="14">
        <f t="shared" si="2"/>
        <v>8.9499999999999993</v>
      </c>
      <c r="Y11" s="283">
        <f t="shared" si="0"/>
        <v>7</v>
      </c>
      <c r="Z11" s="14">
        <f t="shared" si="3"/>
        <v>7.5</v>
      </c>
      <c r="AA11" s="283">
        <f t="shared" si="0"/>
        <v>9.0000000000000018</v>
      </c>
      <c r="AB11" s="69">
        <f>Table351550[[#This Row],[Floor4]]+Table351550[[#This Row],[Vault6]]</f>
        <v>16.45</v>
      </c>
      <c r="AC11" s="283">
        <f t="shared" ref="AC11" si="10">SUMPRODUCT((AB$7:AB$117&gt;AB11)/COUNTIF(AB$7:AB$117,AB$7:AB$117&amp;""))+1</f>
        <v>9</v>
      </c>
    </row>
    <row r="12" spans="1:62">
      <c r="A12" s="150">
        <v>29</v>
      </c>
      <c r="B12" s="95" t="s">
        <v>588</v>
      </c>
      <c r="C12" s="14">
        <v>8.9499999999999993</v>
      </c>
      <c r="D12" s="14">
        <v>7.5</v>
      </c>
      <c r="E12" s="14">
        <f t="shared" si="5"/>
        <v>16.45</v>
      </c>
      <c r="F12" s="8"/>
      <c r="G12" s="150">
        <v>35</v>
      </c>
      <c r="H12" s="95" t="s">
        <v>604</v>
      </c>
      <c r="I12" s="14">
        <v>8.85</v>
      </c>
      <c r="J12" s="14">
        <v>6.6</v>
      </c>
      <c r="K12" s="14">
        <f t="shared" si="6"/>
        <v>15.45</v>
      </c>
      <c r="L12" s="8"/>
      <c r="M12" s="150">
        <v>41</v>
      </c>
      <c r="N12" s="108" t="s">
        <v>612</v>
      </c>
      <c r="O12" s="13">
        <v>7.45</v>
      </c>
      <c r="P12" s="13">
        <v>6.5</v>
      </c>
      <c r="Q12" s="13">
        <f t="shared" si="7"/>
        <v>13.95</v>
      </c>
      <c r="U12" s="16" t="s">
        <v>583</v>
      </c>
      <c r="V12" s="150">
        <v>30</v>
      </c>
      <c r="W12" s="96" t="s">
        <v>589</v>
      </c>
      <c r="X12" s="14">
        <f t="shared" si="2"/>
        <v>9.15</v>
      </c>
      <c r="Y12" s="283">
        <f t="shared" si="0"/>
        <v>3</v>
      </c>
      <c r="Z12" s="14">
        <f t="shared" si="3"/>
        <v>7.4</v>
      </c>
      <c r="AA12" s="283">
        <f t="shared" si="0"/>
        <v>10</v>
      </c>
      <c r="AB12" s="69">
        <f>Table351550[[#This Row],[Floor4]]+Table351550[[#This Row],[Vault6]]</f>
        <v>16.55</v>
      </c>
      <c r="AC12" s="283">
        <f t="shared" ref="AC12" si="11">SUMPRODUCT((AB$7:AB$117&gt;AB12)/COUNTIF(AB$7:AB$117,AB$7:AB$117&amp;""))+1</f>
        <v>8</v>
      </c>
    </row>
    <row r="13" spans="1:62">
      <c r="A13" s="150">
        <v>30</v>
      </c>
      <c r="B13" s="361" t="s">
        <v>589</v>
      </c>
      <c r="C13" s="14">
        <v>9.15</v>
      </c>
      <c r="D13" s="14">
        <v>7.4</v>
      </c>
      <c r="E13" s="14">
        <f t="shared" si="5"/>
        <v>16.55</v>
      </c>
      <c r="F13" s="8"/>
      <c r="G13" s="150">
        <v>36</v>
      </c>
      <c r="H13" s="95" t="s">
        <v>605</v>
      </c>
      <c r="I13" s="14">
        <v>8.1</v>
      </c>
      <c r="J13" s="14">
        <v>6.1</v>
      </c>
      <c r="K13" s="14">
        <f t="shared" si="6"/>
        <v>14.2</v>
      </c>
      <c r="L13" s="8"/>
      <c r="M13" s="150">
        <v>42</v>
      </c>
      <c r="N13" s="359"/>
      <c r="O13" s="13">
        <v>0</v>
      </c>
      <c r="P13" s="13">
        <v>0</v>
      </c>
      <c r="Q13" s="13">
        <f t="shared" si="7"/>
        <v>0</v>
      </c>
      <c r="U13" s="16" t="s">
        <v>215</v>
      </c>
      <c r="V13" s="150">
        <v>31</v>
      </c>
      <c r="W13" s="93" t="s">
        <v>600</v>
      </c>
      <c r="X13" s="14">
        <f>I8</f>
        <v>8.25</v>
      </c>
      <c r="Y13" s="283">
        <f t="shared" si="0"/>
        <v>19.999999999999996</v>
      </c>
      <c r="Z13" s="14">
        <f>J8</f>
        <v>7.1</v>
      </c>
      <c r="AA13" s="283">
        <f t="shared" si="0"/>
        <v>12.999999999999995</v>
      </c>
      <c r="AB13" s="69">
        <f>Table351550[[#This Row],[Floor4]]+Table351550[[#This Row],[Vault6]]</f>
        <v>15.35</v>
      </c>
      <c r="AC13" s="283">
        <f t="shared" ref="AC13" si="12">SUMPRODUCT((AB$7:AB$117&gt;AB13)/COUNTIF(AB$7:AB$117,AB$7:AB$117&amp;""))+1</f>
        <v>27</v>
      </c>
    </row>
    <row r="14" spans="1:62" ht="16.5" thickBot="1">
      <c r="A14" s="8"/>
      <c r="B14" s="18" t="s">
        <v>10</v>
      </c>
      <c r="C14" s="19">
        <f>SUM(C8:C13)-SMALL(C8:C13,1)-SMALL(C8:C13,2)</f>
        <v>36.1</v>
      </c>
      <c r="D14" s="19">
        <f>SUM(D8:D13)-SMALL(D8:D13,1)-SMALL(D8:D13,2)</f>
        <v>29.900000000000002</v>
      </c>
      <c r="E14" s="20">
        <f>SUM(C14:D14)</f>
        <v>66</v>
      </c>
      <c r="F14" s="8"/>
      <c r="G14" s="8"/>
      <c r="H14" s="18" t="s">
        <v>10</v>
      </c>
      <c r="I14" s="19">
        <f>SUM(I8:I13)-SMALL(I8:I13,1)-SMALL(I8:I13,2)</f>
        <v>35.1</v>
      </c>
      <c r="J14" s="19">
        <f>SUM(J8:J13)-SMALL(J8:J13,1)-SMALL(J8:J13,2)</f>
        <v>28.999999999999996</v>
      </c>
      <c r="K14" s="20">
        <f>SUM(I14:J14)</f>
        <v>64.099999999999994</v>
      </c>
      <c r="L14" s="8"/>
      <c r="M14" s="8"/>
      <c r="N14" s="18" t="s">
        <v>10</v>
      </c>
      <c r="O14" s="19">
        <f>SUM(O8:O13)-SMALL(O8:O13,1)-SMALL(O8:O13,2)</f>
        <v>32.849999999999994</v>
      </c>
      <c r="P14" s="19">
        <f>SUM(P8:P13)-SMALL(P8:P13,1)-SMALL(P8:P13,2)</f>
        <v>25.5</v>
      </c>
      <c r="Q14" s="20">
        <f>SUM(O14:P14)</f>
        <v>58.349999999999994</v>
      </c>
      <c r="U14" s="16" t="s">
        <v>215</v>
      </c>
      <c r="V14" s="150">
        <v>32</v>
      </c>
      <c r="W14" s="42" t="s">
        <v>601</v>
      </c>
      <c r="X14" s="14">
        <f t="shared" ref="X14:X18" si="13">I9</f>
        <v>8.85</v>
      </c>
      <c r="Y14" s="283">
        <f t="shared" si="0"/>
        <v>8</v>
      </c>
      <c r="Z14" s="14">
        <f t="shared" ref="Z14:Z18" si="14">J9</f>
        <v>7.6</v>
      </c>
      <c r="AA14" s="283">
        <f t="shared" si="0"/>
        <v>8</v>
      </c>
      <c r="AB14" s="69">
        <f>Table351550[[#This Row],[Floor4]]+Table351550[[#This Row],[Vault6]]</f>
        <v>16.45</v>
      </c>
      <c r="AC14" s="283">
        <f t="shared" ref="AC14" si="15">SUMPRODUCT((AB$7:AB$117&gt;AB14)/COUNTIF(AB$7:AB$117,AB$7:AB$117&amp;""))+1</f>
        <v>9</v>
      </c>
    </row>
    <row r="15" spans="1:62">
      <c r="A15" s="8"/>
      <c r="B15" s="360" t="s">
        <v>37</v>
      </c>
      <c r="C15" s="8"/>
      <c r="D15" s="18"/>
      <c r="E15" s="22"/>
      <c r="F15" s="8"/>
      <c r="G15" s="8"/>
      <c r="H15" s="360" t="s">
        <v>37</v>
      </c>
      <c r="I15" s="8"/>
      <c r="J15" s="18"/>
      <c r="K15" s="22"/>
      <c r="L15" s="8"/>
      <c r="M15" s="8"/>
      <c r="N15" s="360" t="s">
        <v>37</v>
      </c>
      <c r="P15" s="25"/>
      <c r="Q15" s="26"/>
      <c r="U15" s="16" t="s">
        <v>215</v>
      </c>
      <c r="V15" s="150">
        <v>33</v>
      </c>
      <c r="W15" s="42" t="s">
        <v>602</v>
      </c>
      <c r="X15" s="14">
        <f t="shared" si="13"/>
        <v>9.15</v>
      </c>
      <c r="Y15" s="283">
        <f t="shared" si="0"/>
        <v>3</v>
      </c>
      <c r="Z15" s="14">
        <f>J10</f>
        <v>7.7</v>
      </c>
      <c r="AA15" s="283">
        <f t="shared" si="0"/>
        <v>7</v>
      </c>
      <c r="AB15" s="69">
        <f>Table351550[[#This Row],[Floor4]]+Table351550[[#This Row],[Vault6]]</f>
        <v>16.850000000000001</v>
      </c>
      <c r="AC15" s="283">
        <f t="shared" ref="AC15" si="16">SUMPRODUCT((AB$7:AB$117&gt;AB15)/COUNTIF(AB$7:AB$117,AB$7:AB$117&amp;""))+1</f>
        <v>5</v>
      </c>
    </row>
    <row r="16" spans="1:62">
      <c r="A16" s="8"/>
      <c r="B16" s="36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U16" s="16" t="s">
        <v>215</v>
      </c>
      <c r="V16" s="150">
        <v>34</v>
      </c>
      <c r="W16" s="93" t="s">
        <v>603</v>
      </c>
      <c r="X16" s="14">
        <f>I11</f>
        <v>8.0500000000000007</v>
      </c>
      <c r="Y16" s="283">
        <f t="shared" si="0"/>
        <v>22.999999999999996</v>
      </c>
      <c r="Z16" s="14">
        <f t="shared" si="14"/>
        <v>6.3</v>
      </c>
      <c r="AA16" s="283">
        <f t="shared" si="0"/>
        <v>20.999999999999993</v>
      </c>
      <c r="AB16" s="69">
        <f>Table351550[[#This Row],[Floor4]]+Table351550[[#This Row],[Vault6]]</f>
        <v>14.350000000000001</v>
      </c>
      <c r="AC16" s="283">
        <f t="shared" ref="AC16" si="17">SUMPRODUCT((AB$7:AB$117&gt;AB16)/COUNTIF(AB$7:AB$117,AB$7:AB$117&amp;""))+1</f>
        <v>41.000000000000007</v>
      </c>
    </row>
    <row r="17" spans="1:29">
      <c r="A17" s="348" t="s">
        <v>230</v>
      </c>
      <c r="B17" s="349"/>
      <c r="C17" s="349"/>
      <c r="D17" s="349"/>
      <c r="E17" s="350"/>
      <c r="F17" s="8"/>
      <c r="G17" s="348" t="s">
        <v>250</v>
      </c>
      <c r="H17" s="349"/>
      <c r="I17" s="349"/>
      <c r="J17" s="349"/>
      <c r="K17" s="350"/>
      <c r="L17" s="8"/>
      <c r="M17" s="348" t="s">
        <v>251</v>
      </c>
      <c r="N17" s="349"/>
      <c r="O17" s="71"/>
      <c r="P17" s="71"/>
      <c r="Q17" s="72"/>
      <c r="U17" s="16" t="s">
        <v>215</v>
      </c>
      <c r="V17" s="150">
        <v>35</v>
      </c>
      <c r="W17" s="93" t="s">
        <v>604</v>
      </c>
      <c r="X17" s="14">
        <f t="shared" si="13"/>
        <v>8.85</v>
      </c>
      <c r="Y17" s="283">
        <f t="shared" si="0"/>
        <v>8</v>
      </c>
      <c r="Z17" s="14">
        <f t="shared" si="14"/>
        <v>6.6</v>
      </c>
      <c r="AA17" s="283">
        <f t="shared" si="0"/>
        <v>17.999999999999993</v>
      </c>
      <c r="AB17" s="69">
        <f>Table351550[[#This Row],[Floor4]]+Table351550[[#This Row],[Vault6]]</f>
        <v>15.45</v>
      </c>
      <c r="AC17" s="283">
        <f t="shared" ref="AC17" si="18">SUMPRODUCT((AB$7:AB$117&gt;AB17)/COUNTIF(AB$7:AB$117,AB$7:AB$117&amp;""))+1</f>
        <v>25</v>
      </c>
    </row>
    <row r="18" spans="1:29">
      <c r="A18" s="354" t="s">
        <v>1</v>
      </c>
      <c r="B18" s="354" t="s">
        <v>2</v>
      </c>
      <c r="C18" s="354" t="s">
        <v>3</v>
      </c>
      <c r="D18" s="354" t="s">
        <v>4</v>
      </c>
      <c r="E18" s="354" t="s">
        <v>5</v>
      </c>
      <c r="F18" s="8"/>
      <c r="G18" s="354" t="s">
        <v>1</v>
      </c>
      <c r="H18" s="354" t="s">
        <v>2</v>
      </c>
      <c r="I18" s="354" t="s">
        <v>3</v>
      </c>
      <c r="J18" s="354" t="s">
        <v>4</v>
      </c>
      <c r="K18" s="354" t="s">
        <v>5</v>
      </c>
      <c r="L18" s="8"/>
      <c r="M18" s="354" t="s">
        <v>1</v>
      </c>
      <c r="N18" s="354" t="s">
        <v>2</v>
      </c>
      <c r="O18" s="9" t="s">
        <v>3</v>
      </c>
      <c r="P18" s="9" t="s">
        <v>4</v>
      </c>
      <c r="Q18" s="9" t="s">
        <v>5</v>
      </c>
      <c r="U18" s="16" t="s">
        <v>215</v>
      </c>
      <c r="V18" s="150">
        <v>36</v>
      </c>
      <c r="W18" s="93" t="s">
        <v>605</v>
      </c>
      <c r="X18" s="14">
        <f t="shared" si="13"/>
        <v>8.1</v>
      </c>
      <c r="Y18" s="283">
        <f t="shared" si="0"/>
        <v>21.999999999999996</v>
      </c>
      <c r="Z18" s="14">
        <f t="shared" si="14"/>
        <v>6.1</v>
      </c>
      <c r="AA18" s="283">
        <f t="shared" si="0"/>
        <v>22.999999999999986</v>
      </c>
      <c r="AB18" s="69">
        <f>Table351550[[#This Row],[Floor4]]+Table351550[[#This Row],[Vault6]]</f>
        <v>14.2</v>
      </c>
      <c r="AC18" s="283">
        <f t="shared" ref="AC18" si="19">SUMPRODUCT((AB$7:AB$117&gt;AB18)/COUNTIF(AB$7:AB$117,AB$7:AB$117&amp;""))+1</f>
        <v>43</v>
      </c>
    </row>
    <row r="19" spans="1:29">
      <c r="A19" s="150">
        <v>43</v>
      </c>
      <c r="B19" s="95" t="s">
        <v>247</v>
      </c>
      <c r="C19" s="14">
        <v>8.85</v>
      </c>
      <c r="D19" s="14">
        <v>7.2</v>
      </c>
      <c r="E19" s="14">
        <f>SUM(C19,D19)</f>
        <v>16.05</v>
      </c>
      <c r="F19" s="8"/>
      <c r="G19" s="150">
        <v>49</v>
      </c>
      <c r="H19" s="95" t="s">
        <v>264</v>
      </c>
      <c r="I19" s="14">
        <v>9.15</v>
      </c>
      <c r="J19" s="14">
        <v>8</v>
      </c>
      <c r="K19" s="14">
        <f>SUM(I19,J19)</f>
        <v>17.149999999999999</v>
      </c>
      <c r="L19" s="8"/>
      <c r="M19" s="150">
        <v>55</v>
      </c>
      <c r="N19" s="108" t="s">
        <v>664</v>
      </c>
      <c r="O19" s="13">
        <v>8.25</v>
      </c>
      <c r="P19" s="13">
        <v>6.6</v>
      </c>
      <c r="Q19" s="13">
        <f>SUM(O19,P19)</f>
        <v>14.85</v>
      </c>
      <c r="U19" s="16" t="s">
        <v>215</v>
      </c>
      <c r="V19" s="150">
        <v>37</v>
      </c>
      <c r="W19" s="93" t="s">
        <v>608</v>
      </c>
      <c r="X19" s="14">
        <f>O8</f>
        <v>7.95</v>
      </c>
      <c r="Y19" s="283">
        <f t="shared" si="0"/>
        <v>24.999999999999996</v>
      </c>
      <c r="Z19" s="14">
        <f>P8</f>
        <v>6.6</v>
      </c>
      <c r="AA19" s="283">
        <f t="shared" si="0"/>
        <v>17.999999999999993</v>
      </c>
      <c r="AB19" s="69">
        <f>Table351550[[#This Row],[Floor4]]+Table351550[[#This Row],[Vault6]]</f>
        <v>14.55</v>
      </c>
      <c r="AC19" s="283">
        <f t="shared" ref="AC19" si="20">SUMPRODUCT((AB$7:AB$117&gt;AB19)/COUNTIF(AB$7:AB$117,AB$7:AB$117&amp;""))+1</f>
        <v>40.000000000000007</v>
      </c>
    </row>
    <row r="20" spans="1:29">
      <c r="A20" s="150">
        <v>44</v>
      </c>
      <c r="B20" s="95" t="s">
        <v>245</v>
      </c>
      <c r="C20" s="14">
        <v>6.95</v>
      </c>
      <c r="D20" s="14">
        <v>5.6</v>
      </c>
      <c r="E20" s="14">
        <f t="shared" ref="E20:E24" si="21">SUM(C20,D20)</f>
        <v>12.55</v>
      </c>
      <c r="F20" s="8"/>
      <c r="G20" s="150">
        <v>50</v>
      </c>
      <c r="H20" s="95" t="s">
        <v>263</v>
      </c>
      <c r="I20" s="14">
        <v>9.0500000000000007</v>
      </c>
      <c r="J20" s="14">
        <v>7.5</v>
      </c>
      <c r="K20" s="14">
        <f t="shared" ref="K20:K24" si="22">SUM(I20,J20)</f>
        <v>16.55</v>
      </c>
      <c r="L20" s="8"/>
      <c r="M20" s="363">
        <v>56</v>
      </c>
      <c r="N20" s="108" t="s">
        <v>261</v>
      </c>
      <c r="O20" s="13">
        <v>8.75</v>
      </c>
      <c r="P20" s="13">
        <v>7.3</v>
      </c>
      <c r="Q20" s="13">
        <f t="shared" ref="Q20:Q24" si="23">SUM(O20,P20)</f>
        <v>16.05</v>
      </c>
      <c r="U20" s="16" t="s">
        <v>215</v>
      </c>
      <c r="V20" s="150">
        <v>38</v>
      </c>
      <c r="W20" s="93" t="s">
        <v>609</v>
      </c>
      <c r="X20" s="14">
        <f t="shared" ref="X20:X23" si="24">O9</f>
        <v>8.4499999999999993</v>
      </c>
      <c r="Y20" s="283">
        <f t="shared" si="0"/>
        <v>15.999999999999998</v>
      </c>
      <c r="Z20" s="14">
        <f t="shared" ref="Z20:Z23" si="25">P9</f>
        <v>6.3</v>
      </c>
      <c r="AA20" s="283">
        <f t="shared" si="0"/>
        <v>20.999999999999993</v>
      </c>
      <c r="AB20" s="69">
        <f>Table351550[[#This Row],[Floor4]]+Table351550[[#This Row],[Vault6]]</f>
        <v>14.75</v>
      </c>
      <c r="AC20" s="283">
        <f t="shared" ref="AC20" si="26">SUMPRODUCT((AB$7:AB$117&gt;AB20)/COUNTIF(AB$7:AB$117,AB$7:AB$117&amp;""))+1</f>
        <v>36</v>
      </c>
    </row>
    <row r="21" spans="1:29">
      <c r="A21" s="150">
        <v>45</v>
      </c>
      <c r="B21" s="95" t="s">
        <v>659</v>
      </c>
      <c r="C21" s="14">
        <v>7.25</v>
      </c>
      <c r="D21" s="14">
        <v>6.2</v>
      </c>
      <c r="E21" s="14">
        <f t="shared" si="21"/>
        <v>13.45</v>
      </c>
      <c r="F21" s="8"/>
      <c r="G21" s="150">
        <v>51</v>
      </c>
      <c r="H21" s="95" t="s">
        <v>266</v>
      </c>
      <c r="I21" s="14">
        <v>9.35</v>
      </c>
      <c r="J21" s="14">
        <v>8.1</v>
      </c>
      <c r="K21" s="14">
        <f t="shared" si="22"/>
        <v>17.45</v>
      </c>
      <c r="L21" s="8"/>
      <c r="M21" s="150">
        <v>57</v>
      </c>
      <c r="N21" s="108" t="s">
        <v>665</v>
      </c>
      <c r="O21" s="13">
        <v>9.15</v>
      </c>
      <c r="P21" s="13">
        <v>6.3</v>
      </c>
      <c r="Q21" s="13">
        <f t="shared" si="23"/>
        <v>15.45</v>
      </c>
      <c r="U21" s="16" t="s">
        <v>215</v>
      </c>
      <c r="V21" s="150">
        <v>39</v>
      </c>
      <c r="W21" s="93" t="s">
        <v>610</v>
      </c>
      <c r="X21" s="14">
        <f t="shared" si="24"/>
        <v>7.75</v>
      </c>
      <c r="Y21" s="283">
        <f t="shared" si="0"/>
        <v>26.999999999999993</v>
      </c>
      <c r="Z21" s="14">
        <f t="shared" si="25"/>
        <v>6.1</v>
      </c>
      <c r="AA21" s="283">
        <f t="shared" si="0"/>
        <v>22.999999999999986</v>
      </c>
      <c r="AB21" s="69">
        <f>Table351550[[#This Row],[Floor4]]+Table351550[[#This Row],[Vault6]]</f>
        <v>13.85</v>
      </c>
      <c r="AC21" s="283">
        <f t="shared" ref="AC21" si="27">SUMPRODUCT((AB$7:AB$117&gt;AB21)/COUNTIF(AB$7:AB$117,AB$7:AB$117&amp;""))+1</f>
        <v>48.000000000000014</v>
      </c>
    </row>
    <row r="22" spans="1:29">
      <c r="A22" s="150">
        <v>46</v>
      </c>
      <c r="B22" s="95" t="s">
        <v>242</v>
      </c>
      <c r="C22" s="14">
        <v>8.6</v>
      </c>
      <c r="D22" s="14">
        <v>6.3</v>
      </c>
      <c r="E22" s="14">
        <f t="shared" si="21"/>
        <v>14.899999999999999</v>
      </c>
      <c r="F22" s="8"/>
      <c r="G22" s="150">
        <v>52</v>
      </c>
      <c r="H22" s="95" t="s">
        <v>265</v>
      </c>
      <c r="I22" s="14">
        <v>9.0500000000000007</v>
      </c>
      <c r="J22" s="14">
        <v>7.4</v>
      </c>
      <c r="K22" s="14">
        <f t="shared" si="22"/>
        <v>16.450000000000003</v>
      </c>
      <c r="L22" s="8"/>
      <c r="M22" s="404">
        <v>58</v>
      </c>
      <c r="N22" s="405" t="s">
        <v>260</v>
      </c>
      <c r="O22" s="398">
        <v>0</v>
      </c>
      <c r="P22" s="398">
        <v>0</v>
      </c>
      <c r="Q22" s="398">
        <f t="shared" si="23"/>
        <v>0</v>
      </c>
      <c r="U22" s="16" t="s">
        <v>215</v>
      </c>
      <c r="V22" s="150">
        <v>40</v>
      </c>
      <c r="W22" s="93" t="s">
        <v>611</v>
      </c>
      <c r="X22" s="14">
        <f>O11</f>
        <v>8.6999999999999993</v>
      </c>
      <c r="Y22" s="283">
        <f t="shared" si="0"/>
        <v>10.999999999999996</v>
      </c>
      <c r="Z22" s="14">
        <f>P11</f>
        <v>6</v>
      </c>
      <c r="AA22" s="283">
        <f t="shared" si="0"/>
        <v>23.999999999999986</v>
      </c>
      <c r="AB22" s="69">
        <f>Table351550[[#This Row],[Floor4]]+Table351550[[#This Row],[Vault6]]</f>
        <v>14.7</v>
      </c>
      <c r="AC22" s="283">
        <f t="shared" ref="AC22" si="28">SUMPRODUCT((AB$7:AB$117&gt;AB22)/COUNTIF(AB$7:AB$117,AB$7:AB$117&amp;""))+1</f>
        <v>37</v>
      </c>
    </row>
    <row r="23" spans="1:29">
      <c r="A23" s="150">
        <v>47</v>
      </c>
      <c r="B23" s="95" t="s">
        <v>660</v>
      </c>
      <c r="C23" s="14">
        <v>7.15</v>
      </c>
      <c r="D23" s="14">
        <v>5.8</v>
      </c>
      <c r="E23" s="14">
        <f t="shared" si="21"/>
        <v>12.95</v>
      </c>
      <c r="F23" s="8"/>
      <c r="G23" s="150">
        <v>53</v>
      </c>
      <c r="H23" s="95" t="s">
        <v>262</v>
      </c>
      <c r="I23" s="14">
        <v>8.85</v>
      </c>
      <c r="J23" s="14">
        <v>7.3</v>
      </c>
      <c r="K23" s="14">
        <f t="shared" si="22"/>
        <v>16.149999999999999</v>
      </c>
      <c r="L23" s="8"/>
      <c r="M23" s="150">
        <v>59</v>
      </c>
      <c r="N23" s="108" t="s">
        <v>666</v>
      </c>
      <c r="O23" s="13">
        <v>9.0500000000000007</v>
      </c>
      <c r="P23" s="13">
        <v>7.6</v>
      </c>
      <c r="Q23" s="13">
        <f t="shared" si="23"/>
        <v>16.649999999999999</v>
      </c>
      <c r="U23" s="16" t="s">
        <v>215</v>
      </c>
      <c r="V23" s="150">
        <v>41</v>
      </c>
      <c r="W23" s="100" t="s">
        <v>612</v>
      </c>
      <c r="X23" s="14">
        <f t="shared" si="24"/>
        <v>7.45</v>
      </c>
      <c r="Y23" s="283">
        <f t="shared" si="0"/>
        <v>32.999999999999986</v>
      </c>
      <c r="Z23" s="14">
        <f t="shared" si="25"/>
        <v>6.5</v>
      </c>
      <c r="AA23" s="283">
        <f t="shared" si="0"/>
        <v>18.999999999999993</v>
      </c>
      <c r="AB23" s="69">
        <f>Table351550[[#This Row],[Floor4]]+Table351550[[#This Row],[Vault6]]</f>
        <v>13.95</v>
      </c>
      <c r="AC23" s="283">
        <f t="shared" ref="AC23" si="29">SUMPRODUCT((AB$7:AB$117&gt;AB23)/COUNTIF(AB$7:AB$117,AB$7:AB$117&amp;""))+1</f>
        <v>46</v>
      </c>
    </row>
    <row r="24" spans="1:29">
      <c r="A24" s="150">
        <v>48</v>
      </c>
      <c r="B24" s="95" t="s">
        <v>661</v>
      </c>
      <c r="C24" s="14">
        <v>8.25</v>
      </c>
      <c r="D24" s="14">
        <v>6.7</v>
      </c>
      <c r="E24" s="14">
        <f t="shared" si="21"/>
        <v>14.95</v>
      </c>
      <c r="F24" s="8"/>
      <c r="G24" s="150">
        <v>54</v>
      </c>
      <c r="H24" s="95" t="s">
        <v>259</v>
      </c>
      <c r="I24" s="14">
        <v>9.1999999999999993</v>
      </c>
      <c r="J24" s="14">
        <v>8.1999999999999993</v>
      </c>
      <c r="K24" s="14">
        <f t="shared" si="22"/>
        <v>17.399999999999999</v>
      </c>
      <c r="L24" s="8"/>
      <c r="M24" s="363">
        <v>60</v>
      </c>
      <c r="N24" s="108" t="s">
        <v>667</v>
      </c>
      <c r="O24" s="13">
        <v>9.1</v>
      </c>
      <c r="P24" s="13">
        <v>6.7</v>
      </c>
      <c r="Q24" s="13">
        <f t="shared" si="23"/>
        <v>15.8</v>
      </c>
      <c r="U24" s="406" t="s">
        <v>234</v>
      </c>
      <c r="V24" s="408">
        <v>127</v>
      </c>
      <c r="W24" s="411" t="s">
        <v>658</v>
      </c>
      <c r="X24" s="401">
        <f>C74</f>
        <v>0</v>
      </c>
      <c r="Y24" s="402">
        <f t="shared" si="0"/>
        <v>41.000000000000021</v>
      </c>
      <c r="Z24" s="401">
        <f>D74</f>
        <v>0</v>
      </c>
      <c r="AA24" s="402">
        <f t="shared" si="0"/>
        <v>28.999999999999982</v>
      </c>
      <c r="AB24" s="403">
        <f>Table351550[[#This Row],[Floor4]]+Table351550[[#This Row],[Vault6]]</f>
        <v>0</v>
      </c>
      <c r="AC24" s="402">
        <f t="shared" ref="AC24" si="30">SUMPRODUCT((AB$7:AB$117&gt;AB24)/COUNTIF(AB$7:AB$117,AB$7:AB$117&amp;""))+1</f>
        <v>63.000000000000007</v>
      </c>
    </row>
    <row r="25" spans="1:29" ht="16.5" thickBot="1">
      <c r="A25" s="8"/>
      <c r="B25" s="18" t="s">
        <v>10</v>
      </c>
      <c r="C25" s="19">
        <f>SUM(C19:C24)-SMALL(C19:C24,1)-SMALL(C19:C24,2)</f>
        <v>32.949999999999996</v>
      </c>
      <c r="D25" s="19">
        <f>SUM(D19:D24)-SMALL(D19:D24,1)-SMALL(D19:D24,2)</f>
        <v>26.400000000000002</v>
      </c>
      <c r="E25" s="20">
        <f>SUM(C25:D25)</f>
        <v>59.349999999999994</v>
      </c>
      <c r="F25" s="8"/>
      <c r="G25" s="8"/>
      <c r="H25" s="18" t="s">
        <v>10</v>
      </c>
      <c r="I25" s="19">
        <f>SUM(I19:I24)-SMALL(I19:I24,1)-SMALL(I19:I24,2)</f>
        <v>36.75</v>
      </c>
      <c r="J25" s="19">
        <f>SUM(J19:J24)-SMALL(J19:J24,1)-SMALL(J19:J24,2)</f>
        <v>31.800000000000004</v>
      </c>
      <c r="K25" s="20">
        <f>SUM(I25:J25)</f>
        <v>68.550000000000011</v>
      </c>
      <c r="L25" s="8"/>
      <c r="M25" s="8"/>
      <c r="N25" s="18" t="s">
        <v>10</v>
      </c>
      <c r="O25" s="19">
        <f>SUM(O19:O24)-SMALL(O19:O24,1)-SMALL(O19:O24,2)</f>
        <v>36.050000000000004</v>
      </c>
      <c r="P25" s="19">
        <f>SUM(P19:P24)-SMALL(P19:P24,1)-SMALL(P19:P24,2)</f>
        <v>28.2</v>
      </c>
      <c r="Q25" s="20">
        <f>SUM(O25:P25)</f>
        <v>64.25</v>
      </c>
      <c r="U25" s="16" t="s">
        <v>234</v>
      </c>
      <c r="V25" s="150">
        <v>43</v>
      </c>
      <c r="W25" s="93" t="s">
        <v>247</v>
      </c>
      <c r="X25" s="14">
        <f>C19</f>
        <v>8.85</v>
      </c>
      <c r="Y25" s="283">
        <f t="shared" si="0"/>
        <v>8</v>
      </c>
      <c r="Z25" s="14">
        <f>D19</f>
        <v>7.2</v>
      </c>
      <c r="AA25" s="283">
        <f t="shared" si="0"/>
        <v>11.999999999999996</v>
      </c>
      <c r="AB25" s="69">
        <f>Table351550[[#This Row],[Floor4]]+Table351550[[#This Row],[Vault6]]</f>
        <v>16.05</v>
      </c>
      <c r="AC25" s="283">
        <f t="shared" ref="AC25" si="31">SUMPRODUCT((AB$7:AB$117&gt;AB25)/COUNTIF(AB$7:AB$117,AB$7:AB$117&amp;""))+1</f>
        <v>16</v>
      </c>
    </row>
    <row r="26" spans="1:29">
      <c r="A26" s="8"/>
      <c r="B26" s="360" t="s">
        <v>37</v>
      </c>
      <c r="C26" s="8"/>
      <c r="D26" s="18"/>
      <c r="E26" s="22"/>
      <c r="F26" s="8"/>
      <c r="G26" s="8"/>
      <c r="H26" s="21" t="s">
        <v>37</v>
      </c>
      <c r="I26" s="8"/>
      <c r="J26" s="18"/>
      <c r="K26" s="22"/>
      <c r="L26" s="8"/>
      <c r="M26" s="8"/>
      <c r="N26" s="360" t="s">
        <v>37</v>
      </c>
      <c r="P26" s="25"/>
      <c r="Q26" s="26"/>
      <c r="U26" s="16" t="s">
        <v>234</v>
      </c>
      <c r="V26" s="150">
        <v>44</v>
      </c>
      <c r="W26" s="93" t="s">
        <v>245</v>
      </c>
      <c r="X26" s="14">
        <f t="shared" ref="X26:X30" si="32">C20</f>
        <v>6.95</v>
      </c>
      <c r="Y26" s="283">
        <f t="shared" si="0"/>
        <v>38.000000000000007</v>
      </c>
      <c r="Z26" s="14">
        <f t="shared" ref="Z26:Z30" si="33">D20</f>
        <v>5.6</v>
      </c>
      <c r="AA26" s="283">
        <f t="shared" si="0"/>
        <v>27.999999999999982</v>
      </c>
      <c r="AB26" s="69">
        <f>Table351550[[#This Row],[Floor4]]+Table351550[[#This Row],[Vault6]]</f>
        <v>12.55</v>
      </c>
      <c r="AC26" s="283">
        <f t="shared" ref="AC26" si="34">SUMPRODUCT((AB$7:AB$117&gt;AB26)/COUNTIF(AB$7:AB$117,AB$7:AB$117&amp;""))+1</f>
        <v>57.000000000000014</v>
      </c>
    </row>
    <row r="27" spans="1:29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U27" s="16" t="s">
        <v>234</v>
      </c>
      <c r="V27" s="150">
        <v>45</v>
      </c>
      <c r="W27" s="93" t="s">
        <v>659</v>
      </c>
      <c r="X27" s="14">
        <f t="shared" si="32"/>
        <v>7.25</v>
      </c>
      <c r="Y27" s="283">
        <f t="shared" si="0"/>
        <v>34.999999999999993</v>
      </c>
      <c r="Z27" s="14">
        <f t="shared" si="33"/>
        <v>6.2</v>
      </c>
      <c r="AA27" s="283">
        <f t="shared" si="0"/>
        <v>21.999999999999989</v>
      </c>
      <c r="AB27" s="69">
        <f>Table351550[[#This Row],[Floor4]]+Table351550[[#This Row],[Vault6]]</f>
        <v>13.45</v>
      </c>
      <c r="AC27" s="283">
        <f t="shared" ref="AC27" si="35">SUMPRODUCT((AB$7:AB$117&gt;AB27)/COUNTIF(AB$7:AB$117,AB$7:AB$117&amp;""))+1</f>
        <v>52.000000000000014</v>
      </c>
    </row>
    <row r="28" spans="1:29">
      <c r="A28" s="348" t="s">
        <v>757</v>
      </c>
      <c r="B28" s="349"/>
      <c r="C28" s="349"/>
      <c r="D28" s="349"/>
      <c r="E28" s="350"/>
      <c r="F28" s="8"/>
      <c r="G28" s="348" t="s">
        <v>758</v>
      </c>
      <c r="H28" s="349"/>
      <c r="I28" s="349"/>
      <c r="J28" s="349"/>
      <c r="K28" s="350"/>
      <c r="L28" s="8"/>
      <c r="M28" s="306" t="s">
        <v>783</v>
      </c>
      <c r="N28" s="349"/>
      <c r="O28" s="71"/>
      <c r="P28" s="71"/>
      <c r="Q28" s="72"/>
      <c r="U28" s="16" t="s">
        <v>234</v>
      </c>
      <c r="V28" s="150">
        <v>46</v>
      </c>
      <c r="W28" s="93" t="s">
        <v>242</v>
      </c>
      <c r="X28" s="14">
        <f t="shared" si="32"/>
        <v>8.6</v>
      </c>
      <c r="Y28" s="283">
        <f t="shared" si="0"/>
        <v>12.999999999999998</v>
      </c>
      <c r="Z28" s="14">
        <f t="shared" si="33"/>
        <v>6.3</v>
      </c>
      <c r="AA28" s="283">
        <f t="shared" si="0"/>
        <v>20.999999999999993</v>
      </c>
      <c r="AB28" s="69">
        <f>Table351550[[#This Row],[Floor4]]+Table351550[[#This Row],[Vault6]]</f>
        <v>14.899999999999999</v>
      </c>
      <c r="AC28" s="283">
        <f t="shared" ref="AC28" si="36">SUMPRODUCT((AB$7:AB$117&gt;AB28)/COUNTIF(AB$7:AB$117,AB$7:AB$117&amp;""))+1</f>
        <v>34</v>
      </c>
    </row>
    <row r="29" spans="1:29">
      <c r="A29" s="354" t="s">
        <v>1</v>
      </c>
      <c r="B29" s="354" t="s">
        <v>2</v>
      </c>
      <c r="C29" s="354" t="s">
        <v>3</v>
      </c>
      <c r="D29" s="354" t="s">
        <v>4</v>
      </c>
      <c r="E29" s="354" t="s">
        <v>5</v>
      </c>
      <c r="F29" s="8"/>
      <c r="G29" s="354" t="s">
        <v>1</v>
      </c>
      <c r="H29" s="354" t="s">
        <v>2</v>
      </c>
      <c r="I29" s="354" t="s">
        <v>3</v>
      </c>
      <c r="J29" s="354" t="s">
        <v>4</v>
      </c>
      <c r="K29" s="354" t="s">
        <v>5</v>
      </c>
      <c r="L29" s="8"/>
      <c r="M29" s="354" t="s">
        <v>1</v>
      </c>
      <c r="N29" s="354" t="s">
        <v>2</v>
      </c>
      <c r="O29" s="9" t="s">
        <v>3</v>
      </c>
      <c r="P29" s="9" t="s">
        <v>4</v>
      </c>
      <c r="Q29" s="9" t="s">
        <v>5</v>
      </c>
      <c r="U29" s="16" t="s">
        <v>234</v>
      </c>
      <c r="V29" s="150">
        <v>47</v>
      </c>
      <c r="W29" s="93" t="s">
        <v>660</v>
      </c>
      <c r="X29" s="14">
        <f>C23</f>
        <v>7.15</v>
      </c>
      <c r="Y29" s="283">
        <f t="shared" si="0"/>
        <v>36</v>
      </c>
      <c r="Z29" s="14">
        <f>D23</f>
        <v>5.8</v>
      </c>
      <c r="AA29" s="283">
        <f t="shared" si="0"/>
        <v>25.999999999999982</v>
      </c>
      <c r="AB29" s="69">
        <f>Table351550[[#This Row],[Floor4]]+Table351550[[#This Row],[Vault6]]</f>
        <v>12.95</v>
      </c>
      <c r="AC29" s="283">
        <f t="shared" ref="AC29" si="37">SUMPRODUCT((AB$7:AB$117&gt;AB29)/COUNTIF(AB$7:AB$117,AB$7:AB$117&amp;""))+1</f>
        <v>55.000000000000014</v>
      </c>
    </row>
    <row r="30" spans="1:29">
      <c r="A30" s="150">
        <v>61</v>
      </c>
      <c r="B30" s="95" t="s">
        <v>759</v>
      </c>
      <c r="C30" s="14">
        <v>7.4</v>
      </c>
      <c r="D30" s="14">
        <v>7.6</v>
      </c>
      <c r="E30" s="14">
        <f>SUM(C30,D30)</f>
        <v>15</v>
      </c>
      <c r="F30" s="8"/>
      <c r="G30" s="150">
        <v>67</v>
      </c>
      <c r="H30" s="95" t="s">
        <v>763</v>
      </c>
      <c r="I30" s="14">
        <v>8.4</v>
      </c>
      <c r="J30" s="14">
        <v>6.2</v>
      </c>
      <c r="K30" s="14">
        <f>SUM(I30,J30)</f>
        <v>14.600000000000001</v>
      </c>
      <c r="L30" s="8"/>
      <c r="M30" s="150">
        <v>73</v>
      </c>
      <c r="N30" s="95" t="s">
        <v>785</v>
      </c>
      <c r="O30" s="13">
        <v>8</v>
      </c>
      <c r="P30" s="13">
        <v>7.2</v>
      </c>
      <c r="Q30" s="13">
        <f>SUM(O30,P30)</f>
        <v>15.2</v>
      </c>
      <c r="U30" s="16" t="s">
        <v>234</v>
      </c>
      <c r="V30" s="150">
        <v>48</v>
      </c>
      <c r="W30" s="93" t="s">
        <v>661</v>
      </c>
      <c r="X30" s="14">
        <f t="shared" si="32"/>
        <v>8.25</v>
      </c>
      <c r="Y30" s="283">
        <f t="shared" si="0"/>
        <v>19.999999999999996</v>
      </c>
      <c r="Z30" s="14">
        <f t="shared" si="33"/>
        <v>6.7</v>
      </c>
      <c r="AA30" s="283">
        <f t="shared" si="0"/>
        <v>16.999999999999993</v>
      </c>
      <c r="AB30" s="69">
        <f>Table351550[[#This Row],[Floor4]]+Table351550[[#This Row],[Vault6]]</f>
        <v>14.95</v>
      </c>
      <c r="AC30" s="283">
        <f t="shared" ref="AC30" si="38">SUMPRODUCT((AB$7:AB$117&gt;AB30)/COUNTIF(AB$7:AB$117,AB$7:AB$117&amp;""))+1</f>
        <v>33</v>
      </c>
    </row>
    <row r="31" spans="1:29">
      <c r="A31" s="150">
        <v>62</v>
      </c>
      <c r="B31" s="95" t="s">
        <v>760</v>
      </c>
      <c r="C31" s="14">
        <v>9.1999999999999993</v>
      </c>
      <c r="D31" s="14">
        <v>7.8</v>
      </c>
      <c r="E31" s="14">
        <f t="shared" ref="E31:E35" si="39">SUM(C31,D31)</f>
        <v>17</v>
      </c>
      <c r="F31" s="8"/>
      <c r="G31" s="150">
        <v>68</v>
      </c>
      <c r="H31" s="95" t="s">
        <v>764</v>
      </c>
      <c r="I31" s="14">
        <v>7.75</v>
      </c>
      <c r="J31" s="14">
        <v>6</v>
      </c>
      <c r="K31" s="14">
        <f t="shared" ref="K31:K35" si="40">SUM(I31,J31)</f>
        <v>13.75</v>
      </c>
      <c r="L31" s="8"/>
      <c r="M31" s="150">
        <v>74</v>
      </c>
      <c r="N31" s="95" t="s">
        <v>786</v>
      </c>
      <c r="O31" s="13">
        <v>7.75</v>
      </c>
      <c r="P31" s="13">
        <v>6.5</v>
      </c>
      <c r="Q31" s="13">
        <f t="shared" ref="Q31:Q35" si="41">SUM(O31,P31)</f>
        <v>14.25</v>
      </c>
      <c r="U31" s="16" t="s">
        <v>135</v>
      </c>
      <c r="V31" s="150">
        <v>49</v>
      </c>
      <c r="W31" s="93" t="s">
        <v>264</v>
      </c>
      <c r="X31" s="14">
        <f>I19</f>
        <v>9.15</v>
      </c>
      <c r="Y31" s="283">
        <f t="shared" si="0"/>
        <v>3</v>
      </c>
      <c r="Z31" s="14">
        <f>J19</f>
        <v>8</v>
      </c>
      <c r="AA31" s="283">
        <f t="shared" si="0"/>
        <v>4</v>
      </c>
      <c r="AB31" s="69">
        <f>Table351550[[#This Row],[Floor4]]+Table351550[[#This Row],[Vault6]]</f>
        <v>17.149999999999999</v>
      </c>
      <c r="AC31" s="283">
        <f t="shared" ref="AC31" si="42">SUMPRODUCT((AB$7:AB$117&gt;AB31)/COUNTIF(AB$7:AB$117,AB$7:AB$117&amp;""))+1</f>
        <v>3</v>
      </c>
    </row>
    <row r="32" spans="1:29">
      <c r="A32" s="150">
        <v>63</v>
      </c>
      <c r="B32" s="95" t="s">
        <v>761</v>
      </c>
      <c r="C32" s="14">
        <v>7.45</v>
      </c>
      <c r="D32" s="14">
        <v>7.3</v>
      </c>
      <c r="E32" s="14">
        <f t="shared" si="39"/>
        <v>14.75</v>
      </c>
      <c r="F32" s="8"/>
      <c r="G32" s="150">
        <v>69</v>
      </c>
      <c r="H32" s="95" t="s">
        <v>765</v>
      </c>
      <c r="I32" s="14">
        <v>7.25</v>
      </c>
      <c r="J32" s="14">
        <v>7.4</v>
      </c>
      <c r="K32" s="14">
        <f t="shared" si="40"/>
        <v>14.65</v>
      </c>
      <c r="L32" s="8"/>
      <c r="M32" s="150">
        <v>75</v>
      </c>
      <c r="N32" s="95" t="s">
        <v>787</v>
      </c>
      <c r="O32" s="13">
        <v>8.6</v>
      </c>
      <c r="P32" s="13">
        <v>7.5</v>
      </c>
      <c r="Q32" s="13">
        <f t="shared" si="41"/>
        <v>16.100000000000001</v>
      </c>
      <c r="U32" s="16" t="s">
        <v>135</v>
      </c>
      <c r="V32" s="150">
        <v>50</v>
      </c>
      <c r="W32" s="93" t="s">
        <v>263</v>
      </c>
      <c r="X32" s="14">
        <f t="shared" ref="X32:X36" si="43">I20</f>
        <v>9.0500000000000007</v>
      </c>
      <c r="Y32" s="283">
        <f t="shared" si="0"/>
        <v>5</v>
      </c>
      <c r="Z32" s="14">
        <f t="shared" ref="Z32:Z36" si="44">J20</f>
        <v>7.5</v>
      </c>
      <c r="AA32" s="283">
        <f t="shared" si="0"/>
        <v>9.0000000000000018</v>
      </c>
      <c r="AB32" s="69">
        <f>Table351550[[#This Row],[Floor4]]+Table351550[[#This Row],[Vault6]]</f>
        <v>16.55</v>
      </c>
      <c r="AC32" s="283">
        <f t="shared" ref="AC32" si="45">SUMPRODUCT((AB$7:AB$117&gt;AB32)/COUNTIF(AB$7:AB$117,AB$7:AB$117&amp;""))+1</f>
        <v>8</v>
      </c>
    </row>
    <row r="33" spans="1:29">
      <c r="A33" s="150">
        <v>64</v>
      </c>
      <c r="B33" s="95" t="s">
        <v>762</v>
      </c>
      <c r="C33" s="14">
        <v>7.55</v>
      </c>
      <c r="D33" s="14">
        <v>7.4</v>
      </c>
      <c r="E33" s="14">
        <f t="shared" si="39"/>
        <v>14.95</v>
      </c>
      <c r="F33" s="8"/>
      <c r="G33" s="150">
        <v>70</v>
      </c>
      <c r="H33" s="183" t="s">
        <v>766</v>
      </c>
      <c r="I33" s="14">
        <v>7.4</v>
      </c>
      <c r="J33" s="14">
        <v>6.1</v>
      </c>
      <c r="K33" s="14">
        <f t="shared" si="40"/>
        <v>13.5</v>
      </c>
      <c r="L33" s="8"/>
      <c r="M33" s="150">
        <v>76</v>
      </c>
      <c r="N33" s="108" t="s">
        <v>788</v>
      </c>
      <c r="O33" s="13">
        <v>6.2</v>
      </c>
      <c r="P33" s="13">
        <v>6.3</v>
      </c>
      <c r="Q33" s="13">
        <f t="shared" si="41"/>
        <v>12.5</v>
      </c>
      <c r="U33" s="16" t="s">
        <v>135</v>
      </c>
      <c r="V33" s="150">
        <v>51</v>
      </c>
      <c r="W33" s="93" t="s">
        <v>266</v>
      </c>
      <c r="X33" s="14">
        <f t="shared" si="43"/>
        <v>9.35</v>
      </c>
      <c r="Y33" s="283">
        <f t="shared" si="0"/>
        <v>1</v>
      </c>
      <c r="Z33" s="14">
        <f>J21</f>
        <v>8.1</v>
      </c>
      <c r="AA33" s="283">
        <f t="shared" si="0"/>
        <v>3</v>
      </c>
      <c r="AB33" s="69">
        <f>Table351550[[#This Row],[Floor4]]+Table351550[[#This Row],[Vault6]]</f>
        <v>17.45</v>
      </c>
      <c r="AC33" s="283">
        <f t="shared" ref="AC33" si="46">SUMPRODUCT((AB$7:AB$117&gt;AB33)/COUNTIF(AB$7:AB$117,AB$7:AB$117&amp;""))+1</f>
        <v>1</v>
      </c>
    </row>
    <row r="34" spans="1:29">
      <c r="A34" s="150">
        <v>65</v>
      </c>
      <c r="B34" s="359"/>
      <c r="C34" s="14">
        <v>0</v>
      </c>
      <c r="D34" s="14">
        <v>0</v>
      </c>
      <c r="E34" s="14">
        <f t="shared" si="39"/>
        <v>0</v>
      </c>
      <c r="F34" s="8"/>
      <c r="G34" s="150">
        <v>71</v>
      </c>
      <c r="H34" s="95" t="s">
        <v>767</v>
      </c>
      <c r="I34" s="14">
        <v>8.25</v>
      </c>
      <c r="J34" s="14">
        <v>5.7</v>
      </c>
      <c r="K34" s="14">
        <f t="shared" si="40"/>
        <v>13.95</v>
      </c>
      <c r="L34" s="8"/>
      <c r="M34" s="150">
        <v>77</v>
      </c>
      <c r="N34" s="108" t="s">
        <v>308</v>
      </c>
      <c r="O34" s="13">
        <v>9</v>
      </c>
      <c r="P34" s="13">
        <v>7.6</v>
      </c>
      <c r="Q34" s="13">
        <f t="shared" si="41"/>
        <v>16.600000000000001</v>
      </c>
      <c r="U34" s="16" t="s">
        <v>135</v>
      </c>
      <c r="V34" s="150">
        <v>52</v>
      </c>
      <c r="W34" s="93" t="s">
        <v>265</v>
      </c>
      <c r="X34" s="14">
        <f>I22</f>
        <v>9.0500000000000007</v>
      </c>
      <c r="Y34" s="283">
        <f t="shared" si="0"/>
        <v>5</v>
      </c>
      <c r="Z34" s="14">
        <f t="shared" si="44"/>
        <v>7.4</v>
      </c>
      <c r="AA34" s="283">
        <f t="shared" si="0"/>
        <v>10</v>
      </c>
      <c r="AB34" s="69">
        <f>Table351550[[#This Row],[Floor4]]+Table351550[[#This Row],[Vault6]]</f>
        <v>16.450000000000003</v>
      </c>
      <c r="AC34" s="283">
        <f t="shared" ref="AC34" si="47">SUMPRODUCT((AB$7:AB$117&gt;AB34)/COUNTIF(AB$7:AB$117,AB$7:AB$117&amp;""))+1</f>
        <v>9</v>
      </c>
    </row>
    <row r="35" spans="1:29">
      <c r="A35" s="150">
        <v>66</v>
      </c>
      <c r="B35" s="359"/>
      <c r="C35" s="14">
        <v>0</v>
      </c>
      <c r="D35" s="14">
        <v>0</v>
      </c>
      <c r="E35" s="14">
        <f t="shared" si="39"/>
        <v>0</v>
      </c>
      <c r="F35" s="8"/>
      <c r="G35" s="150">
        <v>72</v>
      </c>
      <c r="H35" s="359"/>
      <c r="I35" s="14">
        <v>0</v>
      </c>
      <c r="J35" s="14">
        <v>0</v>
      </c>
      <c r="K35" s="14">
        <f t="shared" si="40"/>
        <v>0</v>
      </c>
      <c r="L35" s="8"/>
      <c r="M35" s="150">
        <v>78</v>
      </c>
      <c r="N35" s="359"/>
      <c r="O35" s="13">
        <v>0</v>
      </c>
      <c r="P35" s="13">
        <v>0</v>
      </c>
      <c r="Q35" s="13">
        <f t="shared" si="41"/>
        <v>0</v>
      </c>
      <c r="U35" s="16" t="s">
        <v>135</v>
      </c>
      <c r="V35" s="150">
        <v>53</v>
      </c>
      <c r="W35" s="93" t="s">
        <v>262</v>
      </c>
      <c r="X35" s="14">
        <f t="shared" si="43"/>
        <v>8.85</v>
      </c>
      <c r="Y35" s="283">
        <f t="shared" si="0"/>
        <v>8</v>
      </c>
      <c r="Z35" s="14">
        <f>J23</f>
        <v>7.3</v>
      </c>
      <c r="AA35" s="283">
        <f t="shared" si="0"/>
        <v>10.999999999999996</v>
      </c>
      <c r="AB35" s="69">
        <f>Table351550[[#This Row],[Floor4]]+Table351550[[#This Row],[Vault6]]</f>
        <v>16.149999999999999</v>
      </c>
      <c r="AC35" s="283">
        <f t="shared" ref="AC35" si="48">SUMPRODUCT((AB$7:AB$117&gt;AB35)/COUNTIF(AB$7:AB$117,AB$7:AB$117&amp;""))+1</f>
        <v>14</v>
      </c>
    </row>
    <row r="36" spans="1:29" ht="16.5" thickBot="1">
      <c r="A36" s="8"/>
      <c r="B36" s="18" t="s">
        <v>10</v>
      </c>
      <c r="C36" s="19">
        <f>SUM(C30:C35)-SMALL(C30:C35,1)-SMALL(C30:C35,2)</f>
        <v>31.6</v>
      </c>
      <c r="D36" s="19">
        <f>SUM(D30:D35)-SMALL(D30:D35,1)-SMALL(D30:D35,2)</f>
        <v>30.1</v>
      </c>
      <c r="E36" s="20">
        <f>SUM(C36:D36)</f>
        <v>61.7</v>
      </c>
      <c r="F36" s="8"/>
      <c r="G36" s="8"/>
      <c r="H36" s="18" t="s">
        <v>10</v>
      </c>
      <c r="I36" s="19">
        <f>SUM(I30:I35)-SMALL(I30:I35,1)-SMALL(I30:I35,2)</f>
        <v>31.799999999999997</v>
      </c>
      <c r="J36" s="19">
        <f>SUM(J30:J35)-SMALL(J30:J35,1)-SMALL(J30:J35,2)</f>
        <v>25.700000000000003</v>
      </c>
      <c r="K36" s="20">
        <f>SUM(I36:J36)</f>
        <v>57.5</v>
      </c>
      <c r="L36" s="8"/>
      <c r="M36" s="8"/>
      <c r="N36" s="18" t="s">
        <v>10</v>
      </c>
      <c r="O36" s="19">
        <f>SUM(O30:O35)-SMALL(O30:O35,1)-SMALL(O30:O35,2)</f>
        <v>33.349999999999994</v>
      </c>
      <c r="P36" s="19">
        <f>SUM(P30:P35)-SMALL(P30:P35,1)-SMALL(P30:P35,2)</f>
        <v>28.8</v>
      </c>
      <c r="Q36" s="20">
        <f>SUM(O36:P36)</f>
        <v>62.149999999999991</v>
      </c>
      <c r="U36" s="16" t="s">
        <v>135</v>
      </c>
      <c r="V36" s="150">
        <v>54</v>
      </c>
      <c r="W36" s="93" t="s">
        <v>259</v>
      </c>
      <c r="X36" s="14">
        <f t="shared" si="43"/>
        <v>9.1999999999999993</v>
      </c>
      <c r="Y36" s="283">
        <f t="shared" si="0"/>
        <v>2</v>
      </c>
      <c r="Z36" s="14">
        <f t="shared" si="44"/>
        <v>8.1999999999999993</v>
      </c>
      <c r="AA36" s="283">
        <f t="shared" si="0"/>
        <v>2</v>
      </c>
      <c r="AB36" s="69">
        <f>Table351550[[#This Row],[Floor4]]+Table351550[[#This Row],[Vault6]]</f>
        <v>17.399999999999999</v>
      </c>
      <c r="AC36" s="283">
        <f t="shared" ref="AC36" si="49">SUMPRODUCT((AB$7:AB$117&gt;AB36)/COUNTIF(AB$7:AB$117,AB$7:AB$117&amp;""))+1</f>
        <v>2</v>
      </c>
    </row>
    <row r="37" spans="1:29">
      <c r="A37" s="8"/>
      <c r="B37" s="360" t="s">
        <v>37</v>
      </c>
      <c r="C37" s="8"/>
      <c r="D37" s="18"/>
      <c r="E37" s="22"/>
      <c r="F37" s="8"/>
      <c r="G37" s="8"/>
      <c r="H37" s="360" t="s">
        <v>37</v>
      </c>
      <c r="I37" s="8"/>
      <c r="J37" s="18"/>
      <c r="K37" s="22"/>
      <c r="L37" s="8"/>
      <c r="M37" s="8"/>
      <c r="N37" s="360" t="s">
        <v>37</v>
      </c>
      <c r="P37" s="25"/>
      <c r="Q37" s="26"/>
      <c r="U37" s="16" t="s">
        <v>135</v>
      </c>
      <c r="V37" s="150">
        <v>55</v>
      </c>
      <c r="W37" s="100" t="s">
        <v>664</v>
      </c>
      <c r="X37" s="14">
        <f>O19</f>
        <v>8.25</v>
      </c>
      <c r="Y37" s="283">
        <f t="shared" si="0"/>
        <v>19.999999999999996</v>
      </c>
      <c r="Z37" s="14">
        <f>P19</f>
        <v>6.6</v>
      </c>
      <c r="AA37" s="283">
        <f t="shared" si="0"/>
        <v>17.999999999999993</v>
      </c>
      <c r="AB37" s="69">
        <f>Table351550[[#This Row],[Floor4]]+Table351550[[#This Row],[Vault6]]</f>
        <v>14.85</v>
      </c>
      <c r="AC37" s="283">
        <f t="shared" ref="AC37" si="50">SUMPRODUCT((AB$7:AB$117&gt;AB37)/COUNTIF(AB$7:AB$117,AB$7:AB$117&amp;""))+1</f>
        <v>34.999999999999993</v>
      </c>
    </row>
    <row r="38" spans="1:29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U38" s="16" t="s">
        <v>135</v>
      </c>
      <c r="V38" s="363">
        <v>56</v>
      </c>
      <c r="W38" s="100" t="s">
        <v>261</v>
      </c>
      <c r="X38" s="14">
        <f t="shared" ref="X38:X42" si="51">O20</f>
        <v>8.75</v>
      </c>
      <c r="Y38" s="283">
        <f t="shared" si="0"/>
        <v>9.9999999999999982</v>
      </c>
      <c r="Z38" s="14">
        <f t="shared" ref="Z38:Z42" si="52">P20</f>
        <v>7.3</v>
      </c>
      <c r="AA38" s="283">
        <f t="shared" si="0"/>
        <v>10.999999999999996</v>
      </c>
      <c r="AB38" s="69">
        <f>Table351550[[#This Row],[Floor4]]+Table351550[[#This Row],[Vault6]]</f>
        <v>16.05</v>
      </c>
      <c r="AC38" s="283">
        <f t="shared" ref="AC38" si="53">SUMPRODUCT((AB$7:AB$117&gt;AB38)/COUNTIF(AB$7:AB$117,AB$7:AB$117&amp;""))+1</f>
        <v>16</v>
      </c>
    </row>
    <row r="39" spans="1:29">
      <c r="A39" s="306" t="s">
        <v>784</v>
      </c>
      <c r="B39" s="349"/>
      <c r="C39" s="349"/>
      <c r="D39" s="349"/>
      <c r="E39" s="350"/>
      <c r="F39" s="8"/>
      <c r="G39" s="348" t="s">
        <v>319</v>
      </c>
      <c r="H39" s="349"/>
      <c r="I39" s="349"/>
      <c r="J39" s="349"/>
      <c r="K39" s="350"/>
      <c r="L39" s="8"/>
      <c r="M39" s="348" t="s">
        <v>157</v>
      </c>
      <c r="N39" s="349"/>
      <c r="O39" s="71"/>
      <c r="P39" s="71"/>
      <c r="Q39" s="72"/>
      <c r="U39" s="16" t="s">
        <v>135</v>
      </c>
      <c r="V39" s="150">
        <v>57</v>
      </c>
      <c r="W39" s="100" t="s">
        <v>665</v>
      </c>
      <c r="X39" s="14">
        <f t="shared" si="51"/>
        <v>9.15</v>
      </c>
      <c r="Y39" s="283">
        <f t="shared" ref="Y39:AA70" si="54">SUMPRODUCT((X$7:X$117&gt;X39)/COUNTIF(X$7:X$117,X$7:X$117&amp;""))+1</f>
        <v>3</v>
      </c>
      <c r="Z39" s="14">
        <f t="shared" si="52"/>
        <v>6.3</v>
      </c>
      <c r="AA39" s="283">
        <f t="shared" si="54"/>
        <v>20.999999999999993</v>
      </c>
      <c r="AB39" s="69">
        <f>Table351550[[#This Row],[Floor4]]+Table351550[[#This Row],[Vault6]]</f>
        <v>15.45</v>
      </c>
      <c r="AC39" s="283">
        <f t="shared" ref="AC39" si="55">SUMPRODUCT((AB$7:AB$117&gt;AB39)/COUNTIF(AB$7:AB$117,AB$7:AB$117&amp;""))+1</f>
        <v>25</v>
      </c>
    </row>
    <row r="40" spans="1:29">
      <c r="A40" s="354" t="s">
        <v>1</v>
      </c>
      <c r="B40" s="354" t="s">
        <v>2</v>
      </c>
      <c r="C40" s="354" t="s">
        <v>3</v>
      </c>
      <c r="D40" s="354" t="s">
        <v>4</v>
      </c>
      <c r="E40" s="354" t="s">
        <v>5</v>
      </c>
      <c r="F40" s="8"/>
      <c r="G40" s="354" t="s">
        <v>1</v>
      </c>
      <c r="H40" s="354" t="s">
        <v>2</v>
      </c>
      <c r="I40" s="354" t="s">
        <v>3</v>
      </c>
      <c r="J40" s="354" t="s">
        <v>4</v>
      </c>
      <c r="K40" s="354" t="s">
        <v>5</v>
      </c>
      <c r="L40" s="8"/>
      <c r="M40" s="354" t="s">
        <v>1</v>
      </c>
      <c r="N40" s="354" t="s">
        <v>2</v>
      </c>
      <c r="O40" s="9" t="s">
        <v>3</v>
      </c>
      <c r="P40" s="9" t="s">
        <v>4</v>
      </c>
      <c r="Q40" s="9" t="s">
        <v>5</v>
      </c>
      <c r="U40" s="406" t="s">
        <v>135</v>
      </c>
      <c r="V40" s="404">
        <v>58</v>
      </c>
      <c r="W40" s="399" t="s">
        <v>260</v>
      </c>
      <c r="X40" s="401">
        <f t="shared" si="51"/>
        <v>0</v>
      </c>
      <c r="Y40" s="402">
        <f t="shared" si="54"/>
        <v>41.000000000000021</v>
      </c>
      <c r="Z40" s="401">
        <f>P22</f>
        <v>0</v>
      </c>
      <c r="AA40" s="402">
        <f t="shared" si="54"/>
        <v>28.999999999999982</v>
      </c>
      <c r="AB40" s="403">
        <f>Table351550[[#This Row],[Floor4]]+Table351550[[#This Row],[Vault6]]</f>
        <v>0</v>
      </c>
      <c r="AC40" s="402">
        <f t="shared" ref="AC40" si="56">SUMPRODUCT((AB$7:AB$117&gt;AB40)/COUNTIF(AB$7:AB$117,AB$7:AB$117&amp;""))+1</f>
        <v>63.000000000000007</v>
      </c>
    </row>
    <row r="41" spans="1:29">
      <c r="A41" s="150">
        <v>79</v>
      </c>
      <c r="B41" s="95" t="s">
        <v>307</v>
      </c>
      <c r="C41" s="14">
        <v>7.4</v>
      </c>
      <c r="D41" s="14">
        <v>6</v>
      </c>
      <c r="E41" s="14">
        <f>SUM(C41,D41)</f>
        <v>13.4</v>
      </c>
      <c r="F41" s="8"/>
      <c r="G41" s="150">
        <v>85</v>
      </c>
      <c r="H41" s="95" t="s">
        <v>339</v>
      </c>
      <c r="I41" s="14">
        <v>7.7</v>
      </c>
      <c r="J41" s="14">
        <v>7.4</v>
      </c>
      <c r="K41" s="14">
        <f>SUM(I41,J41)</f>
        <v>15.100000000000001</v>
      </c>
      <c r="L41" s="8"/>
      <c r="M41" s="150">
        <v>91</v>
      </c>
      <c r="N41" s="95" t="s">
        <v>834</v>
      </c>
      <c r="O41" s="13">
        <v>8.5</v>
      </c>
      <c r="P41" s="13">
        <v>7.1</v>
      </c>
      <c r="Q41" s="13">
        <f>SUM(O41,P41)</f>
        <v>15.6</v>
      </c>
      <c r="U41" s="16" t="s">
        <v>135</v>
      </c>
      <c r="V41" s="150">
        <v>59</v>
      </c>
      <c r="W41" s="100" t="s">
        <v>666</v>
      </c>
      <c r="X41" s="14">
        <f>O23</f>
        <v>9.0500000000000007</v>
      </c>
      <c r="Y41" s="283">
        <f t="shared" si="54"/>
        <v>5</v>
      </c>
      <c r="Z41" s="14">
        <f t="shared" si="52"/>
        <v>7.6</v>
      </c>
      <c r="AA41" s="283">
        <f t="shared" si="54"/>
        <v>8</v>
      </c>
      <c r="AB41" s="69">
        <f>Table351550[[#This Row],[Floor4]]+Table351550[[#This Row],[Vault6]]</f>
        <v>16.649999999999999</v>
      </c>
      <c r="AC41" s="283">
        <f t="shared" ref="AC41" si="57">SUMPRODUCT((AB$7:AB$117&gt;AB41)/COUNTIF(AB$7:AB$117,AB$7:AB$117&amp;""))+1</f>
        <v>6</v>
      </c>
    </row>
    <row r="42" spans="1:29">
      <c r="A42" s="150">
        <v>80</v>
      </c>
      <c r="B42" s="95" t="s">
        <v>792</v>
      </c>
      <c r="C42" s="14">
        <v>8.65</v>
      </c>
      <c r="D42" s="14">
        <v>6.2</v>
      </c>
      <c r="E42" s="14">
        <f t="shared" ref="E42:E46" si="58">SUM(C42,D42)</f>
        <v>14.850000000000001</v>
      </c>
      <c r="F42" s="8"/>
      <c r="G42" s="150">
        <v>86</v>
      </c>
      <c r="H42" s="95" t="s">
        <v>355</v>
      </c>
      <c r="I42" s="14">
        <v>7.7</v>
      </c>
      <c r="J42" s="14">
        <v>7.8</v>
      </c>
      <c r="K42" s="14">
        <f t="shared" ref="K42:K46" si="59">SUM(I42,J42)</f>
        <v>15.5</v>
      </c>
      <c r="L42" s="8"/>
      <c r="M42" s="150">
        <v>92</v>
      </c>
      <c r="N42" s="95" t="s">
        <v>835</v>
      </c>
      <c r="O42" s="13">
        <v>8.4</v>
      </c>
      <c r="P42" s="13">
        <v>7</v>
      </c>
      <c r="Q42" s="13">
        <f t="shared" ref="Q42:Q46" si="60">SUM(O42,P42)</f>
        <v>15.4</v>
      </c>
      <c r="U42" s="16" t="s">
        <v>135</v>
      </c>
      <c r="V42" s="363">
        <v>60</v>
      </c>
      <c r="W42" s="100" t="s">
        <v>667</v>
      </c>
      <c r="X42" s="14">
        <f t="shared" si="51"/>
        <v>9.1</v>
      </c>
      <c r="Y42" s="283">
        <f t="shared" si="54"/>
        <v>4</v>
      </c>
      <c r="Z42" s="14">
        <f t="shared" si="52"/>
        <v>6.7</v>
      </c>
      <c r="AA42" s="283">
        <f t="shared" si="54"/>
        <v>16.999999999999993</v>
      </c>
      <c r="AB42" s="69">
        <f>Table351550[[#This Row],[Floor4]]+Table351550[[#This Row],[Vault6]]</f>
        <v>15.8</v>
      </c>
      <c r="AC42" s="283">
        <f t="shared" ref="AC42" si="61">SUMPRODUCT((AB$7:AB$117&gt;AB42)/COUNTIF(AB$7:AB$117,AB$7:AB$117&amp;""))+1</f>
        <v>20</v>
      </c>
    </row>
    <row r="43" spans="1:29">
      <c r="A43" s="150">
        <v>81</v>
      </c>
      <c r="B43" s="95" t="s">
        <v>789</v>
      </c>
      <c r="C43" s="14">
        <v>7.1</v>
      </c>
      <c r="D43" s="14">
        <v>6</v>
      </c>
      <c r="E43" s="14">
        <f t="shared" si="58"/>
        <v>13.1</v>
      </c>
      <c r="F43" s="8"/>
      <c r="G43" s="150">
        <v>87</v>
      </c>
      <c r="H43" s="95" t="s">
        <v>809</v>
      </c>
      <c r="I43" s="14">
        <v>7.8</v>
      </c>
      <c r="J43" s="14">
        <v>6.1</v>
      </c>
      <c r="K43" s="14">
        <f t="shared" si="59"/>
        <v>13.899999999999999</v>
      </c>
      <c r="L43" s="8"/>
      <c r="M43" s="150">
        <v>93</v>
      </c>
      <c r="N43" s="95" t="s">
        <v>836</v>
      </c>
      <c r="O43" s="13">
        <v>8.8000000000000007</v>
      </c>
      <c r="P43" s="13">
        <v>7.4</v>
      </c>
      <c r="Q43" s="13">
        <f t="shared" si="60"/>
        <v>16.200000000000003</v>
      </c>
      <c r="U43" s="16" t="s">
        <v>81</v>
      </c>
      <c r="V43" s="150">
        <v>128</v>
      </c>
      <c r="W43" s="100" t="s">
        <v>688</v>
      </c>
      <c r="X43" s="14">
        <f>I74</f>
        <v>8</v>
      </c>
      <c r="Y43" s="283">
        <f t="shared" si="54"/>
        <v>23.999999999999996</v>
      </c>
      <c r="Z43" s="14">
        <f>J74</f>
        <v>8</v>
      </c>
      <c r="AA43" s="283">
        <f t="shared" si="54"/>
        <v>4</v>
      </c>
      <c r="AB43" s="69">
        <f>Table351550[[#This Row],[Floor4]]+Table351550[[#This Row],[Vault6]]</f>
        <v>16</v>
      </c>
      <c r="AC43" s="283">
        <f t="shared" ref="AC43" si="62">SUMPRODUCT((AB$7:AB$117&gt;AB43)/COUNTIF(AB$7:AB$117,AB$7:AB$117&amp;""))+1</f>
        <v>17</v>
      </c>
    </row>
    <row r="44" spans="1:29">
      <c r="A44" s="150">
        <v>82</v>
      </c>
      <c r="B44" s="95" t="s">
        <v>790</v>
      </c>
      <c r="C44" s="14">
        <v>7.65</v>
      </c>
      <c r="D44" s="14">
        <v>5.9</v>
      </c>
      <c r="E44" s="14">
        <f t="shared" si="58"/>
        <v>13.55</v>
      </c>
      <c r="F44" s="8"/>
      <c r="G44" s="150">
        <v>88</v>
      </c>
      <c r="H44" s="95" t="s">
        <v>810</v>
      </c>
      <c r="I44" s="14">
        <v>7.5</v>
      </c>
      <c r="J44" s="14">
        <v>6</v>
      </c>
      <c r="K44" s="14">
        <f t="shared" si="59"/>
        <v>13.5</v>
      </c>
      <c r="L44" s="8"/>
      <c r="M44" s="150">
        <v>94</v>
      </c>
      <c r="N44" s="95" t="s">
        <v>837</v>
      </c>
      <c r="O44" s="13">
        <v>7.95</v>
      </c>
      <c r="P44" s="13">
        <v>7.2</v>
      </c>
      <c r="Q44" s="13">
        <f t="shared" si="60"/>
        <v>15.15</v>
      </c>
      <c r="U44" s="16" t="s">
        <v>301</v>
      </c>
      <c r="V44" s="150">
        <v>61</v>
      </c>
      <c r="W44" s="93" t="s">
        <v>759</v>
      </c>
      <c r="X44" s="14">
        <f>C30</f>
        <v>7.4</v>
      </c>
      <c r="Y44" s="283">
        <f t="shared" si="54"/>
        <v>33.999999999999986</v>
      </c>
      <c r="Z44" s="14">
        <f>D30</f>
        <v>7.6</v>
      </c>
      <c r="AA44" s="283">
        <f t="shared" si="54"/>
        <v>8</v>
      </c>
      <c r="AB44" s="69">
        <f>Table351550[[#This Row],[Floor4]]+Table351550[[#This Row],[Vault6]]</f>
        <v>15</v>
      </c>
      <c r="AC44" s="283">
        <f t="shared" ref="AC44" si="63">SUMPRODUCT((AB$7:AB$117&gt;AB44)/COUNTIF(AB$7:AB$117,AB$7:AB$117&amp;""))+1</f>
        <v>31.999999999999996</v>
      </c>
    </row>
    <row r="45" spans="1:29">
      <c r="A45" s="150">
        <v>83</v>
      </c>
      <c r="B45" s="95" t="s">
        <v>791</v>
      </c>
      <c r="C45" s="14">
        <v>7.45</v>
      </c>
      <c r="D45" s="14">
        <v>6.1</v>
      </c>
      <c r="E45" s="14">
        <f t="shared" si="58"/>
        <v>13.55</v>
      </c>
      <c r="F45" s="8"/>
      <c r="G45" s="150">
        <v>89</v>
      </c>
      <c r="H45" s="95" t="s">
        <v>335</v>
      </c>
      <c r="I45" s="14">
        <v>7.45</v>
      </c>
      <c r="J45" s="14">
        <v>6.5</v>
      </c>
      <c r="K45" s="14">
        <f t="shared" si="59"/>
        <v>13.95</v>
      </c>
      <c r="L45" s="8"/>
      <c r="M45" s="150">
        <v>95</v>
      </c>
      <c r="N45" s="108" t="s">
        <v>838</v>
      </c>
      <c r="O45" s="13">
        <v>8.35</v>
      </c>
      <c r="P45" s="13">
        <v>7.7</v>
      </c>
      <c r="Q45" s="13">
        <f t="shared" si="60"/>
        <v>16.05</v>
      </c>
      <c r="U45" s="16" t="s">
        <v>301</v>
      </c>
      <c r="V45" s="150">
        <v>62</v>
      </c>
      <c r="W45" s="93" t="s">
        <v>760</v>
      </c>
      <c r="X45" s="14">
        <f>C31</f>
        <v>9.1999999999999993</v>
      </c>
      <c r="Y45" s="283">
        <f t="shared" si="54"/>
        <v>2</v>
      </c>
      <c r="Z45" s="14">
        <f>D31</f>
        <v>7.8</v>
      </c>
      <c r="AA45" s="283">
        <f t="shared" si="54"/>
        <v>6</v>
      </c>
      <c r="AB45" s="69">
        <f>Table351550[[#This Row],[Floor4]]+Table351550[[#This Row],[Vault6]]</f>
        <v>17</v>
      </c>
      <c r="AC45" s="283">
        <f t="shared" ref="AC45" si="64">SUMPRODUCT((AB$7:AB$117&gt;AB45)/COUNTIF(AB$7:AB$117,AB$7:AB$117&amp;""))+1</f>
        <v>4</v>
      </c>
    </row>
    <row r="46" spans="1:29">
      <c r="A46" s="150">
        <v>84</v>
      </c>
      <c r="B46" s="359"/>
      <c r="C46" s="14">
        <v>0</v>
      </c>
      <c r="D46" s="14">
        <v>0</v>
      </c>
      <c r="E46" s="14">
        <f t="shared" si="58"/>
        <v>0</v>
      </c>
      <c r="F46" s="8"/>
      <c r="G46" s="150">
        <v>90</v>
      </c>
      <c r="H46" s="95" t="s">
        <v>811</v>
      </c>
      <c r="I46" s="14">
        <v>8.25</v>
      </c>
      <c r="J46" s="14">
        <v>6.6</v>
      </c>
      <c r="K46" s="14">
        <f t="shared" si="59"/>
        <v>14.85</v>
      </c>
      <c r="L46" s="8"/>
      <c r="M46" s="150">
        <v>96</v>
      </c>
      <c r="N46" s="108" t="s">
        <v>839</v>
      </c>
      <c r="O46" s="13">
        <v>8.6</v>
      </c>
      <c r="P46" s="13">
        <v>7.4</v>
      </c>
      <c r="Q46" s="13">
        <f t="shared" si="60"/>
        <v>16</v>
      </c>
      <c r="U46" s="16" t="s">
        <v>301</v>
      </c>
      <c r="V46" s="150">
        <v>63</v>
      </c>
      <c r="W46" s="93" t="s">
        <v>761</v>
      </c>
      <c r="X46" s="14">
        <f t="shared" ref="X46" si="65">C32</f>
        <v>7.45</v>
      </c>
      <c r="Y46" s="283">
        <f t="shared" si="54"/>
        <v>32.999999999999986</v>
      </c>
      <c r="Z46" s="14">
        <f t="shared" ref="Z46:Z47" si="66">D32</f>
        <v>7.3</v>
      </c>
      <c r="AA46" s="283">
        <f t="shared" si="54"/>
        <v>10.999999999999996</v>
      </c>
      <c r="AB46" s="69">
        <f>Table351550[[#This Row],[Floor4]]+Table351550[[#This Row],[Vault6]]</f>
        <v>14.75</v>
      </c>
      <c r="AC46" s="283">
        <f t="shared" ref="AC46" si="67">SUMPRODUCT((AB$7:AB$117&gt;AB46)/COUNTIF(AB$7:AB$117,AB$7:AB$117&amp;""))+1</f>
        <v>36</v>
      </c>
    </row>
    <row r="47" spans="1:29" ht="16.5" thickBot="1">
      <c r="A47" s="8"/>
      <c r="B47" s="18" t="s">
        <v>10</v>
      </c>
      <c r="C47" s="19">
        <f>SUM(C41:C46)-SMALL(C41:C46,1)-SMALL(C41:C46,2)</f>
        <v>31.15</v>
      </c>
      <c r="D47" s="19">
        <f>SUM(D41:D46)-SMALL(D41:D46,1)-SMALL(D41:D46,2)</f>
        <v>24.300000000000004</v>
      </c>
      <c r="E47" s="20">
        <f>SUM(C47:D47)</f>
        <v>55.45</v>
      </c>
      <c r="F47" s="8"/>
      <c r="G47" s="8"/>
      <c r="H47" s="18" t="s">
        <v>10</v>
      </c>
      <c r="I47" s="19">
        <f>SUM(I41:I46)-SMALL(I41:I46,1)-SMALL(I41:I46,2)</f>
        <v>31.449999999999996</v>
      </c>
      <c r="J47" s="19">
        <f>SUM(J41:J46)-SMALL(J41:J46,1)-SMALL(J41:J46,2)</f>
        <v>28.299999999999997</v>
      </c>
      <c r="K47" s="20">
        <f>SUM(I47:J47)</f>
        <v>59.749999999999993</v>
      </c>
      <c r="L47" s="8"/>
      <c r="M47" s="8"/>
      <c r="N47" s="18" t="s">
        <v>10</v>
      </c>
      <c r="O47" s="19">
        <f>SUM(O41:O46)-SMALL(O41:O46,1)-SMALL(O41:O46,2)</f>
        <v>34.299999999999997</v>
      </c>
      <c r="P47" s="19">
        <f>SUM(P41:P46)-SMALL(P41:P46,1)-SMALL(P41:P46,2)</f>
        <v>29.699999999999996</v>
      </c>
      <c r="Q47" s="20">
        <f>SUM(O47:P47)</f>
        <v>63.999999999999993</v>
      </c>
      <c r="U47" s="16" t="s">
        <v>301</v>
      </c>
      <c r="V47" s="150">
        <v>64</v>
      </c>
      <c r="W47" s="93" t="s">
        <v>762</v>
      </c>
      <c r="X47" s="14">
        <f>C33</f>
        <v>7.55</v>
      </c>
      <c r="Y47" s="283">
        <f t="shared" si="54"/>
        <v>30.999999999999986</v>
      </c>
      <c r="Z47" s="14">
        <f t="shared" si="66"/>
        <v>7.4</v>
      </c>
      <c r="AA47" s="283">
        <f t="shared" si="54"/>
        <v>10</v>
      </c>
      <c r="AB47" s="69">
        <f>Table351550[[#This Row],[Floor4]]+Table351550[[#This Row],[Vault6]]</f>
        <v>14.95</v>
      </c>
      <c r="AC47" s="283">
        <f t="shared" ref="AC47" si="68">SUMPRODUCT((AB$7:AB$117&gt;AB47)/COUNTIF(AB$7:AB$117,AB$7:AB$117&amp;""))+1</f>
        <v>33</v>
      </c>
    </row>
    <row r="48" spans="1:29">
      <c r="A48" s="8"/>
      <c r="B48" s="360" t="s">
        <v>37</v>
      </c>
      <c r="C48" s="8"/>
      <c r="D48" s="18"/>
      <c r="E48" s="22"/>
      <c r="F48" s="8"/>
      <c r="G48" s="8"/>
      <c r="H48" s="360" t="s">
        <v>37</v>
      </c>
      <c r="I48" s="8"/>
      <c r="J48" s="18"/>
      <c r="K48" s="22"/>
      <c r="L48" s="8"/>
      <c r="M48" s="8"/>
      <c r="N48" s="360" t="s">
        <v>37</v>
      </c>
      <c r="P48" s="25"/>
      <c r="Q48" s="26"/>
      <c r="U48" s="16" t="s">
        <v>301</v>
      </c>
      <c r="V48" s="150">
        <v>67</v>
      </c>
      <c r="W48" s="95" t="s">
        <v>763</v>
      </c>
      <c r="X48" s="14">
        <f>I30</f>
        <v>8.4</v>
      </c>
      <c r="Y48" s="283">
        <f t="shared" si="54"/>
        <v>17</v>
      </c>
      <c r="Z48" s="14">
        <f>J30</f>
        <v>6.2</v>
      </c>
      <c r="AA48" s="283">
        <f t="shared" si="54"/>
        <v>21.999999999999989</v>
      </c>
      <c r="AB48" s="69">
        <f>Table351550[[#This Row],[Floor4]]+Table351550[[#This Row],[Vault6]]</f>
        <v>14.600000000000001</v>
      </c>
      <c r="AC48" s="283">
        <f t="shared" ref="AC48" si="69">SUMPRODUCT((AB$7:AB$117&gt;AB48)/COUNTIF(AB$7:AB$117,AB$7:AB$117&amp;""))+1</f>
        <v>39</v>
      </c>
    </row>
    <row r="49" spans="1:2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U49" s="16" t="s">
        <v>301</v>
      </c>
      <c r="V49" s="150">
        <v>68</v>
      </c>
      <c r="W49" s="95" t="s">
        <v>764</v>
      </c>
      <c r="X49" s="14">
        <f t="shared" ref="X49:X52" si="70">I31</f>
        <v>7.75</v>
      </c>
      <c r="Y49" s="283">
        <f t="shared" si="54"/>
        <v>26.999999999999993</v>
      </c>
      <c r="Z49" s="14">
        <f t="shared" ref="Z49:Z52" si="71">J31</f>
        <v>6</v>
      </c>
      <c r="AA49" s="283">
        <f t="shared" si="54"/>
        <v>23.999999999999986</v>
      </c>
      <c r="AB49" s="69">
        <f>Table351550[[#This Row],[Floor4]]+Table351550[[#This Row],[Vault6]]</f>
        <v>13.75</v>
      </c>
      <c r="AC49" s="283">
        <f t="shared" ref="AC49" si="72">SUMPRODUCT((AB$7:AB$117&gt;AB49)/COUNTIF(AB$7:AB$117,AB$7:AB$117&amp;""))+1</f>
        <v>49.000000000000014</v>
      </c>
    </row>
    <row r="50" spans="1:29">
      <c r="A50" s="348" t="s">
        <v>848</v>
      </c>
      <c r="B50" s="349"/>
      <c r="C50" s="349"/>
      <c r="D50" s="349"/>
      <c r="E50" s="350"/>
      <c r="F50" s="8"/>
      <c r="G50" s="348" t="s">
        <v>369</v>
      </c>
      <c r="H50" s="349"/>
      <c r="I50" s="349"/>
      <c r="J50" s="349"/>
      <c r="K50" s="350"/>
      <c r="L50" s="267"/>
      <c r="M50" s="348" t="s">
        <v>887</v>
      </c>
      <c r="N50" s="349"/>
      <c r="O50" s="173"/>
      <c r="P50" s="173"/>
      <c r="Q50" s="174"/>
      <c r="U50" s="16" t="s">
        <v>301</v>
      </c>
      <c r="V50" s="150">
        <v>69</v>
      </c>
      <c r="W50" s="95" t="s">
        <v>765</v>
      </c>
      <c r="X50" s="14">
        <f>I32</f>
        <v>7.25</v>
      </c>
      <c r="Y50" s="283">
        <f t="shared" si="54"/>
        <v>34.999999999999993</v>
      </c>
      <c r="Z50" s="14">
        <f>J32</f>
        <v>7.4</v>
      </c>
      <c r="AA50" s="283">
        <f t="shared" si="54"/>
        <v>10</v>
      </c>
      <c r="AB50" s="69">
        <f>Table351550[[#This Row],[Floor4]]+Table351550[[#This Row],[Vault6]]</f>
        <v>14.65</v>
      </c>
      <c r="AC50" s="283">
        <f t="shared" ref="AC50" si="73">SUMPRODUCT((AB$7:AB$117&gt;AB50)/COUNTIF(AB$7:AB$117,AB$7:AB$117&amp;""))+1</f>
        <v>37.999999999999993</v>
      </c>
    </row>
    <row r="51" spans="1:29">
      <c r="A51" s="354" t="s">
        <v>1</v>
      </c>
      <c r="B51" s="354" t="s">
        <v>2</v>
      </c>
      <c r="C51" s="354" t="s">
        <v>3</v>
      </c>
      <c r="D51" s="354" t="s">
        <v>4</v>
      </c>
      <c r="E51" s="354" t="s">
        <v>5</v>
      </c>
      <c r="F51" s="8"/>
      <c r="G51" s="354" t="s">
        <v>1</v>
      </c>
      <c r="H51" s="354" t="s">
        <v>2</v>
      </c>
      <c r="I51" s="354" t="s">
        <v>3</v>
      </c>
      <c r="J51" s="354" t="s">
        <v>4</v>
      </c>
      <c r="K51" s="354" t="s">
        <v>5</v>
      </c>
      <c r="L51" s="267"/>
      <c r="M51" s="354" t="s">
        <v>1</v>
      </c>
      <c r="N51" s="354" t="s">
        <v>2</v>
      </c>
      <c r="O51" s="9" t="s">
        <v>3</v>
      </c>
      <c r="P51" s="9" t="s">
        <v>4</v>
      </c>
      <c r="Q51" s="9" t="s">
        <v>5</v>
      </c>
      <c r="U51" s="16" t="s">
        <v>301</v>
      </c>
      <c r="V51" s="150">
        <v>70</v>
      </c>
      <c r="W51" s="183" t="s">
        <v>766</v>
      </c>
      <c r="X51" s="14">
        <f t="shared" si="70"/>
        <v>7.4</v>
      </c>
      <c r="Y51" s="283">
        <f t="shared" si="54"/>
        <v>33.999999999999986</v>
      </c>
      <c r="Z51" s="14">
        <f>J33</f>
        <v>6.1</v>
      </c>
      <c r="AA51" s="283">
        <f t="shared" si="54"/>
        <v>22.999999999999986</v>
      </c>
      <c r="AB51" s="69">
        <f>Table351550[[#This Row],[Floor4]]+Table351550[[#This Row],[Vault6]]</f>
        <v>13.5</v>
      </c>
      <c r="AC51" s="283">
        <f t="shared" ref="AC51" si="74">SUMPRODUCT((AB$7:AB$117&gt;AB51)/COUNTIF(AB$7:AB$117,AB$7:AB$117&amp;""))+1</f>
        <v>51.000000000000014</v>
      </c>
    </row>
    <row r="52" spans="1:29">
      <c r="A52" s="150">
        <v>129</v>
      </c>
      <c r="B52" s="16" t="s">
        <v>856</v>
      </c>
      <c r="C52" s="14">
        <v>8.5</v>
      </c>
      <c r="D52" s="14">
        <v>6.6</v>
      </c>
      <c r="E52" s="14">
        <f>SUM(C52,D52)</f>
        <v>15.1</v>
      </c>
      <c r="F52" s="8"/>
      <c r="G52" s="364">
        <v>97</v>
      </c>
      <c r="H52" s="281" t="s">
        <v>870</v>
      </c>
      <c r="I52" s="14">
        <v>8.35</v>
      </c>
      <c r="J52" s="14">
        <v>7.2</v>
      </c>
      <c r="K52" s="14">
        <f>SUM(I52,J52)</f>
        <v>15.55</v>
      </c>
      <c r="L52" s="267"/>
      <c r="M52" s="408">
        <v>103</v>
      </c>
      <c r="N52" s="409" t="s">
        <v>895</v>
      </c>
      <c r="O52" s="398">
        <v>0</v>
      </c>
      <c r="P52" s="398">
        <v>0</v>
      </c>
      <c r="Q52" s="398">
        <f>SUM(O52,P52)</f>
        <v>0</v>
      </c>
      <c r="U52" s="16" t="s">
        <v>301</v>
      </c>
      <c r="V52" s="150">
        <v>71</v>
      </c>
      <c r="W52" s="95" t="s">
        <v>767</v>
      </c>
      <c r="X52" s="14">
        <f t="shared" si="70"/>
        <v>8.25</v>
      </c>
      <c r="Y52" s="283">
        <f t="shared" si="54"/>
        <v>19.999999999999996</v>
      </c>
      <c r="Z52" s="14">
        <f t="shared" si="71"/>
        <v>5.7</v>
      </c>
      <c r="AA52" s="283">
        <f t="shared" si="54"/>
        <v>26.999999999999982</v>
      </c>
      <c r="AB52" s="69">
        <f>Table351550[[#This Row],[Floor4]]+Table351550[[#This Row],[Vault6]]</f>
        <v>13.95</v>
      </c>
      <c r="AC52" s="283">
        <f t="shared" ref="AC52" si="75">SUMPRODUCT((AB$7:AB$117&gt;AB52)/COUNTIF(AB$7:AB$117,AB$7:AB$117&amp;""))+1</f>
        <v>46</v>
      </c>
    </row>
    <row r="53" spans="1:29">
      <c r="A53" s="150">
        <v>130</v>
      </c>
      <c r="B53" s="16" t="s">
        <v>857</v>
      </c>
      <c r="C53" s="14">
        <v>8.3000000000000007</v>
      </c>
      <c r="D53" s="14">
        <v>6.4</v>
      </c>
      <c r="E53" s="14">
        <f t="shared" ref="E53:E57" si="76">SUM(C53,D53)</f>
        <v>14.700000000000001</v>
      </c>
      <c r="F53" s="8"/>
      <c r="G53" s="408">
        <v>98</v>
      </c>
      <c r="H53" s="409" t="s">
        <v>875</v>
      </c>
      <c r="I53" s="401">
        <v>0</v>
      </c>
      <c r="J53" s="401">
        <v>0</v>
      </c>
      <c r="K53" s="401">
        <f t="shared" ref="K53:K57" si="77">SUM(I53,J53)</f>
        <v>0</v>
      </c>
      <c r="L53" s="267"/>
      <c r="M53" s="364">
        <v>104</v>
      </c>
      <c r="N53" s="281" t="s">
        <v>899</v>
      </c>
      <c r="O53" s="13">
        <v>8.85</v>
      </c>
      <c r="P53" s="13">
        <v>7.6</v>
      </c>
      <c r="Q53" s="13">
        <f t="shared" ref="Q53:Q57" si="78">SUM(O53,P53)</f>
        <v>16.45</v>
      </c>
      <c r="U53" s="16" t="s">
        <v>306</v>
      </c>
      <c r="V53" s="150">
        <v>73</v>
      </c>
      <c r="W53" s="93" t="s">
        <v>785</v>
      </c>
      <c r="X53" s="14">
        <f>O30</f>
        <v>8</v>
      </c>
      <c r="Y53" s="283">
        <f t="shared" si="54"/>
        <v>23.999999999999996</v>
      </c>
      <c r="Z53" s="14">
        <f>P30</f>
        <v>7.2</v>
      </c>
      <c r="AA53" s="283">
        <f t="shared" si="54"/>
        <v>11.999999999999996</v>
      </c>
      <c r="AB53" s="69">
        <f>Table351550[[#This Row],[Floor4]]+Table351550[[#This Row],[Vault6]]</f>
        <v>15.2</v>
      </c>
      <c r="AC53" s="283">
        <f t="shared" ref="AC53" si="79">SUMPRODUCT((AB$7:AB$117&gt;AB53)/COUNTIF(AB$7:AB$117,AB$7:AB$117&amp;""))+1</f>
        <v>28.999999999999996</v>
      </c>
    </row>
    <row r="54" spans="1:29">
      <c r="A54" s="150"/>
      <c r="B54" s="16" t="s">
        <v>858</v>
      </c>
      <c r="C54" s="14">
        <v>8.6999999999999993</v>
      </c>
      <c r="D54" s="14">
        <v>7.4</v>
      </c>
      <c r="E54" s="14">
        <f t="shared" si="76"/>
        <v>16.100000000000001</v>
      </c>
      <c r="F54" s="8"/>
      <c r="G54" s="364">
        <v>99</v>
      </c>
      <c r="H54" s="95" t="s">
        <v>874</v>
      </c>
      <c r="I54" s="14">
        <v>8.25</v>
      </c>
      <c r="J54" s="14">
        <v>7.3</v>
      </c>
      <c r="K54" s="14">
        <f t="shared" si="77"/>
        <v>15.55</v>
      </c>
      <c r="L54" s="267"/>
      <c r="M54" s="364">
        <v>105</v>
      </c>
      <c r="N54" s="95" t="s">
        <v>896</v>
      </c>
      <c r="O54" s="13">
        <v>8.65</v>
      </c>
      <c r="P54" s="13">
        <v>6.2</v>
      </c>
      <c r="Q54" s="13">
        <f t="shared" si="78"/>
        <v>14.850000000000001</v>
      </c>
      <c r="U54" s="16" t="s">
        <v>306</v>
      </c>
      <c r="V54" s="150">
        <v>74</v>
      </c>
      <c r="W54" s="93" t="s">
        <v>786</v>
      </c>
      <c r="X54" s="14">
        <f t="shared" ref="X54:X57" si="80">O31</f>
        <v>7.75</v>
      </c>
      <c r="Y54" s="283">
        <f t="shared" si="54"/>
        <v>26.999999999999993</v>
      </c>
      <c r="Z54" s="14">
        <f t="shared" ref="Z54:Z57" si="81">P31</f>
        <v>6.5</v>
      </c>
      <c r="AA54" s="283">
        <f t="shared" si="54"/>
        <v>18.999999999999993</v>
      </c>
      <c r="AB54" s="69">
        <f>Table351550[[#This Row],[Floor4]]+Table351550[[#This Row],[Vault6]]</f>
        <v>14.25</v>
      </c>
      <c r="AC54" s="283">
        <f t="shared" ref="AC54" si="82">SUMPRODUCT((AB$7:AB$117&gt;AB54)/COUNTIF(AB$7:AB$117,AB$7:AB$117&amp;""))+1</f>
        <v>42</v>
      </c>
    </row>
    <row r="55" spans="1:29">
      <c r="A55" s="364">
        <v>237</v>
      </c>
      <c r="B55" s="365" t="s">
        <v>1364</v>
      </c>
      <c r="C55" s="14">
        <v>8.35</v>
      </c>
      <c r="D55" s="14">
        <v>6.4</v>
      </c>
      <c r="E55" s="14">
        <f t="shared" si="76"/>
        <v>14.75</v>
      </c>
      <c r="F55" s="8"/>
      <c r="G55" s="364">
        <v>100</v>
      </c>
      <c r="H55" s="95" t="s">
        <v>871</v>
      </c>
      <c r="I55" s="14">
        <v>8.0500000000000007</v>
      </c>
      <c r="J55" s="14">
        <v>7.7</v>
      </c>
      <c r="K55" s="14">
        <f t="shared" si="77"/>
        <v>15.75</v>
      </c>
      <c r="L55" s="267"/>
      <c r="M55" s="408">
        <v>106</v>
      </c>
      <c r="N55" s="410" t="s">
        <v>897</v>
      </c>
      <c r="O55" s="398">
        <v>0</v>
      </c>
      <c r="P55" s="398">
        <v>0</v>
      </c>
      <c r="Q55" s="398">
        <f t="shared" si="78"/>
        <v>0</v>
      </c>
      <c r="U55" s="16" t="s">
        <v>306</v>
      </c>
      <c r="V55" s="150">
        <v>75</v>
      </c>
      <c r="W55" s="93" t="s">
        <v>787</v>
      </c>
      <c r="X55" s="14">
        <f>O32</f>
        <v>8.6</v>
      </c>
      <c r="Y55" s="283">
        <f t="shared" si="54"/>
        <v>12.999999999999998</v>
      </c>
      <c r="Z55" s="14">
        <f t="shared" si="81"/>
        <v>7.5</v>
      </c>
      <c r="AA55" s="283">
        <f t="shared" si="54"/>
        <v>9.0000000000000018</v>
      </c>
      <c r="AB55" s="69">
        <f>Table351550[[#This Row],[Floor4]]+Table351550[[#This Row],[Vault6]]</f>
        <v>16.100000000000001</v>
      </c>
      <c r="AC55" s="283">
        <f t="shared" ref="AC55" si="83">SUMPRODUCT((AB$7:AB$117&gt;AB55)/COUNTIF(AB$7:AB$117,AB$7:AB$117&amp;""))+1</f>
        <v>15</v>
      </c>
    </row>
    <row r="56" spans="1:29">
      <c r="A56" s="359"/>
      <c r="B56" s="359"/>
      <c r="C56" s="14">
        <v>0</v>
      </c>
      <c r="D56" s="14">
        <v>0</v>
      </c>
      <c r="E56" s="14">
        <f t="shared" si="76"/>
        <v>0</v>
      </c>
      <c r="F56" s="8"/>
      <c r="G56" s="364">
        <v>101</v>
      </c>
      <c r="H56" s="95" t="s">
        <v>872</v>
      </c>
      <c r="I56" s="14">
        <v>8.3000000000000007</v>
      </c>
      <c r="J56" s="14">
        <v>7.5</v>
      </c>
      <c r="K56" s="14">
        <f t="shared" si="77"/>
        <v>15.8</v>
      </c>
      <c r="L56" s="267"/>
      <c r="M56" s="364">
        <v>107</v>
      </c>
      <c r="N56" s="95" t="s">
        <v>898</v>
      </c>
      <c r="O56" s="13">
        <v>7.95</v>
      </c>
      <c r="P56" s="13">
        <v>6.2</v>
      </c>
      <c r="Q56" s="13">
        <f t="shared" si="78"/>
        <v>14.15</v>
      </c>
      <c r="U56" s="16" t="s">
        <v>306</v>
      </c>
      <c r="V56" s="150">
        <v>76</v>
      </c>
      <c r="W56" s="100" t="s">
        <v>788</v>
      </c>
      <c r="X56" s="14">
        <f t="shared" si="80"/>
        <v>6.2</v>
      </c>
      <c r="Y56" s="283">
        <f t="shared" si="54"/>
        <v>39</v>
      </c>
      <c r="Z56" s="14">
        <f>P33</f>
        <v>6.3</v>
      </c>
      <c r="AA56" s="283">
        <f t="shared" si="54"/>
        <v>20.999999999999993</v>
      </c>
      <c r="AB56" s="69">
        <f>Table351550[[#This Row],[Floor4]]+Table351550[[#This Row],[Vault6]]</f>
        <v>12.5</v>
      </c>
      <c r="AC56" s="283">
        <f t="shared" ref="AC56" si="84">SUMPRODUCT((AB$7:AB$117&gt;AB56)/COUNTIF(AB$7:AB$117,AB$7:AB$117&amp;""))+1</f>
        <v>58.000000000000007</v>
      </c>
    </row>
    <row r="57" spans="1:29">
      <c r="A57" s="359"/>
      <c r="B57" s="359"/>
      <c r="C57" s="14">
        <v>0</v>
      </c>
      <c r="D57" s="14">
        <v>0</v>
      </c>
      <c r="E57" s="14">
        <f t="shared" si="76"/>
        <v>0</v>
      </c>
      <c r="F57" s="8"/>
      <c r="G57" s="364">
        <v>102</v>
      </c>
      <c r="H57" s="95" t="s">
        <v>873</v>
      </c>
      <c r="I57" s="14">
        <v>8.6</v>
      </c>
      <c r="J57" s="14">
        <v>7.5</v>
      </c>
      <c r="K57" s="14">
        <f t="shared" si="77"/>
        <v>16.100000000000001</v>
      </c>
      <c r="L57" s="267"/>
      <c r="M57" s="364">
        <v>108</v>
      </c>
      <c r="N57" s="359"/>
      <c r="O57" s="13">
        <v>0</v>
      </c>
      <c r="P57" s="13">
        <v>0</v>
      </c>
      <c r="Q57" s="13">
        <f t="shared" si="78"/>
        <v>0</v>
      </c>
      <c r="U57" s="16" t="s">
        <v>306</v>
      </c>
      <c r="V57" s="150">
        <v>77</v>
      </c>
      <c r="W57" s="100" t="s">
        <v>308</v>
      </c>
      <c r="X57" s="14">
        <f t="shared" si="80"/>
        <v>9</v>
      </c>
      <c r="Y57" s="283">
        <f t="shared" si="54"/>
        <v>6</v>
      </c>
      <c r="Z57" s="14">
        <f t="shared" si="81"/>
        <v>7.6</v>
      </c>
      <c r="AA57" s="283">
        <f t="shared" si="54"/>
        <v>8</v>
      </c>
      <c r="AB57" s="69">
        <f>Table351550[[#This Row],[Floor4]]+Table351550[[#This Row],[Vault6]]</f>
        <v>16.600000000000001</v>
      </c>
      <c r="AC57" s="283">
        <f t="shared" ref="AC57" si="85">SUMPRODUCT((AB$7:AB$117&gt;AB57)/COUNTIF(AB$7:AB$117,AB$7:AB$117&amp;""))+1</f>
        <v>7</v>
      </c>
    </row>
    <row r="58" spans="1:29" ht="16.5" thickBot="1">
      <c r="A58" s="8"/>
      <c r="B58" s="18" t="s">
        <v>10</v>
      </c>
      <c r="C58" s="19">
        <f>SUM(C52:C57)-SMALL(C52:C57,1)-SMALL(C52:C57,2)</f>
        <v>33.85</v>
      </c>
      <c r="D58" s="19">
        <f>SUM(D52:D57)-SMALL(D52:D57,1)-SMALL(D52:D57,2)</f>
        <v>26.799999999999997</v>
      </c>
      <c r="E58" s="20">
        <f>SUM(C58:D58)</f>
        <v>60.65</v>
      </c>
      <c r="F58" s="8"/>
      <c r="G58" s="8"/>
      <c r="H58" s="18" t="s">
        <v>10</v>
      </c>
      <c r="I58" s="19">
        <f>SUM(I52:I57)-SMALL(I52:I57,1)-SMALL(I52:I57,2)</f>
        <v>33.5</v>
      </c>
      <c r="J58" s="19">
        <f>SUM(J52:J57)-SMALL(J52:J57,1)-SMALL(J52:J57,2)</f>
        <v>30.000000000000004</v>
      </c>
      <c r="K58" s="20">
        <f>SUM(I58:J58)</f>
        <v>63.5</v>
      </c>
      <c r="L58" s="267"/>
      <c r="M58" s="8"/>
      <c r="N58" s="18" t="s">
        <v>10</v>
      </c>
      <c r="O58" s="19">
        <f>SUM(O52:O57)-SMALL(O52:O57,1)-SMALL(O52:O57,2)</f>
        <v>25.45</v>
      </c>
      <c r="P58" s="19">
        <f>SUM(P52:P57)-SMALL(P52:P57,1)-SMALL(P52:P57,2)</f>
        <v>20</v>
      </c>
      <c r="Q58" s="20">
        <f>SUM(O58:P58)</f>
        <v>45.45</v>
      </c>
      <c r="U58" s="16" t="s">
        <v>306</v>
      </c>
      <c r="V58" s="150">
        <v>79</v>
      </c>
      <c r="W58" s="93" t="s">
        <v>307</v>
      </c>
      <c r="X58" s="14">
        <f>C41</f>
        <v>7.4</v>
      </c>
      <c r="Y58" s="283">
        <f t="shared" si="54"/>
        <v>33.999999999999986</v>
      </c>
      <c r="Z58" s="14">
        <f>D41</f>
        <v>6</v>
      </c>
      <c r="AA58" s="283">
        <f t="shared" si="54"/>
        <v>23.999999999999986</v>
      </c>
      <c r="AB58" s="69">
        <f>Table351550[[#This Row],[Floor4]]+Table351550[[#This Row],[Vault6]]</f>
        <v>13.4</v>
      </c>
      <c r="AC58" s="283">
        <f t="shared" ref="AC58" si="86">SUMPRODUCT((AB$7:AB$117&gt;AB58)/COUNTIF(AB$7:AB$117,AB$7:AB$117&amp;""))+1</f>
        <v>53.000000000000014</v>
      </c>
    </row>
    <row r="59" spans="1:29">
      <c r="A59" s="8"/>
      <c r="B59" s="21" t="s">
        <v>37</v>
      </c>
      <c r="C59" s="8"/>
      <c r="D59" s="18"/>
      <c r="E59" s="22"/>
      <c r="F59" s="8"/>
      <c r="G59" s="8"/>
      <c r="H59" s="21" t="s">
        <v>37</v>
      </c>
      <c r="I59" s="8"/>
      <c r="J59" s="18"/>
      <c r="K59" s="22"/>
      <c r="L59" s="267"/>
      <c r="M59" s="8"/>
      <c r="N59" s="21" t="s">
        <v>37</v>
      </c>
      <c r="P59" s="25"/>
      <c r="Q59" s="26"/>
      <c r="U59" s="16" t="s">
        <v>306</v>
      </c>
      <c r="V59" s="150">
        <v>80</v>
      </c>
      <c r="W59" s="93" t="s">
        <v>792</v>
      </c>
      <c r="X59" s="14">
        <f t="shared" ref="X59:X62" si="87">C42</f>
        <v>8.65</v>
      </c>
      <c r="Y59" s="283">
        <f t="shared" si="54"/>
        <v>11.999999999999996</v>
      </c>
      <c r="Z59" s="14">
        <f t="shared" ref="Z59:Z62" si="88">D42</f>
        <v>6.2</v>
      </c>
      <c r="AA59" s="283">
        <f t="shared" si="54"/>
        <v>21.999999999999989</v>
      </c>
      <c r="AB59" s="69">
        <f>Table351550[[#This Row],[Floor4]]+Table351550[[#This Row],[Vault6]]</f>
        <v>14.850000000000001</v>
      </c>
      <c r="AC59" s="283">
        <f t="shared" ref="AC59" si="89">SUMPRODUCT((AB$7:AB$117&gt;AB59)/COUNTIF(AB$7:AB$117,AB$7:AB$117&amp;""))+1</f>
        <v>34.999999999999993</v>
      </c>
    </row>
    <row r="60" spans="1:29">
      <c r="A60" s="165"/>
      <c r="B60" s="107"/>
      <c r="C60" s="68"/>
      <c r="D60" s="68"/>
      <c r="E60" s="68"/>
      <c r="F60" s="267"/>
      <c r="G60" s="267"/>
      <c r="H60" s="267"/>
      <c r="I60" s="267"/>
      <c r="J60" s="267"/>
      <c r="K60" s="267"/>
      <c r="L60" s="267"/>
      <c r="M60" s="267"/>
      <c r="N60" s="8"/>
      <c r="Q60" s="1"/>
      <c r="U60" s="16" t="s">
        <v>306</v>
      </c>
      <c r="V60" s="150">
        <v>81</v>
      </c>
      <c r="W60" s="93" t="s">
        <v>789</v>
      </c>
      <c r="X60" s="14">
        <f>C43</f>
        <v>7.1</v>
      </c>
      <c r="Y60" s="283">
        <f t="shared" si="54"/>
        <v>37</v>
      </c>
      <c r="Z60" s="14">
        <f>D43</f>
        <v>6</v>
      </c>
      <c r="AA60" s="283">
        <f t="shared" si="54"/>
        <v>23.999999999999986</v>
      </c>
      <c r="AB60" s="69">
        <f>Table351550[[#This Row],[Floor4]]+Table351550[[#This Row],[Vault6]]</f>
        <v>13.1</v>
      </c>
      <c r="AC60" s="283">
        <f t="shared" ref="AC60" si="90">SUMPRODUCT((AB$7:AB$117&gt;AB60)/COUNTIF(AB$7:AB$117,AB$7:AB$117&amp;""))+1</f>
        <v>54.000000000000014</v>
      </c>
    </row>
    <row r="61" spans="1:29">
      <c r="A61" s="171" t="s">
        <v>943</v>
      </c>
      <c r="B61" s="349"/>
      <c r="C61" s="349"/>
      <c r="D61" s="349"/>
      <c r="E61" s="350"/>
      <c r="F61" s="8"/>
      <c r="G61" s="276" t="s">
        <v>388</v>
      </c>
      <c r="H61" s="349"/>
      <c r="I61" s="349"/>
      <c r="J61" s="349"/>
      <c r="K61" s="350"/>
      <c r="L61" s="267"/>
      <c r="M61" s="348" t="s">
        <v>1066</v>
      </c>
      <c r="N61" s="349"/>
      <c r="O61" s="173"/>
      <c r="P61" s="173"/>
      <c r="Q61" s="174"/>
      <c r="U61" s="16" t="s">
        <v>306</v>
      </c>
      <c r="V61" s="150">
        <v>82</v>
      </c>
      <c r="W61" s="93" t="s">
        <v>790</v>
      </c>
      <c r="X61" s="14">
        <f t="shared" si="87"/>
        <v>7.65</v>
      </c>
      <c r="Y61" s="283">
        <f t="shared" si="54"/>
        <v>28.999999999999986</v>
      </c>
      <c r="Z61" s="14">
        <f t="shared" si="88"/>
        <v>5.9</v>
      </c>
      <c r="AA61" s="283">
        <f t="shared" si="54"/>
        <v>24.999999999999982</v>
      </c>
      <c r="AB61" s="69">
        <f>Table351550[[#This Row],[Floor4]]+Table351550[[#This Row],[Vault6]]</f>
        <v>13.55</v>
      </c>
      <c r="AC61" s="283">
        <f t="shared" ref="AC61" si="91">SUMPRODUCT((AB$7:AB$117&gt;AB61)/COUNTIF(AB$7:AB$117,AB$7:AB$117&amp;""))+1</f>
        <v>50.000000000000014</v>
      </c>
    </row>
    <row r="62" spans="1:29">
      <c r="A62" s="354" t="s">
        <v>1</v>
      </c>
      <c r="B62" s="354" t="s">
        <v>2</v>
      </c>
      <c r="C62" s="354" t="s">
        <v>3</v>
      </c>
      <c r="D62" s="354" t="s">
        <v>4</v>
      </c>
      <c r="E62" s="354" t="s">
        <v>5</v>
      </c>
      <c r="F62" s="8"/>
      <c r="G62" s="354" t="s">
        <v>1</v>
      </c>
      <c r="H62" s="354" t="s">
        <v>2</v>
      </c>
      <c r="I62" s="354" t="s">
        <v>3</v>
      </c>
      <c r="J62" s="354" t="s">
        <v>4</v>
      </c>
      <c r="K62" s="354" t="s">
        <v>5</v>
      </c>
      <c r="L62" s="267"/>
      <c r="M62" s="354" t="s">
        <v>1</v>
      </c>
      <c r="N62" s="354" t="s">
        <v>2</v>
      </c>
      <c r="O62" s="9" t="s">
        <v>3</v>
      </c>
      <c r="P62" s="9" t="s">
        <v>4</v>
      </c>
      <c r="Q62" s="9" t="s">
        <v>5</v>
      </c>
      <c r="U62" s="16" t="s">
        <v>306</v>
      </c>
      <c r="V62" s="150">
        <v>83</v>
      </c>
      <c r="W62" s="93" t="s">
        <v>791</v>
      </c>
      <c r="X62" s="14">
        <f t="shared" si="87"/>
        <v>7.45</v>
      </c>
      <c r="Y62" s="283">
        <f t="shared" si="54"/>
        <v>32.999999999999986</v>
      </c>
      <c r="Z62" s="14">
        <f t="shared" si="88"/>
        <v>6.1</v>
      </c>
      <c r="AA62" s="283">
        <f t="shared" si="54"/>
        <v>22.999999999999986</v>
      </c>
      <c r="AB62" s="69">
        <f>Table351550[[#This Row],[Floor4]]+Table351550[[#This Row],[Vault6]]</f>
        <v>13.55</v>
      </c>
      <c r="AC62" s="283">
        <f t="shared" ref="AC62" si="92">SUMPRODUCT((AB$7:AB$117&gt;AB62)/COUNTIF(AB$7:AB$117,AB$7:AB$117&amp;""))+1</f>
        <v>50.000000000000014</v>
      </c>
    </row>
    <row r="63" spans="1:29">
      <c r="A63" s="364">
        <v>109</v>
      </c>
      <c r="B63" s="281" t="s">
        <v>947</v>
      </c>
      <c r="C63" s="14">
        <v>9.15</v>
      </c>
      <c r="D63" s="14">
        <v>6.7</v>
      </c>
      <c r="E63" s="14">
        <f>SUM(C63,D63)</f>
        <v>15.850000000000001</v>
      </c>
      <c r="F63" s="8"/>
      <c r="G63" s="364">
        <v>115</v>
      </c>
      <c r="H63" s="281" t="s">
        <v>1014</v>
      </c>
      <c r="I63" s="14">
        <v>7.7</v>
      </c>
      <c r="J63" s="14">
        <v>8.4</v>
      </c>
      <c r="K63" s="14">
        <f>SUM(I63,J63)</f>
        <v>16.100000000000001</v>
      </c>
      <c r="L63" s="172"/>
      <c r="M63" s="364">
        <v>121</v>
      </c>
      <c r="N63" s="281" t="s">
        <v>1095</v>
      </c>
      <c r="O63" s="13">
        <v>5</v>
      </c>
      <c r="P63" s="13">
        <v>7.5</v>
      </c>
      <c r="Q63" s="13">
        <f>SUM(O63,P63)</f>
        <v>12.5</v>
      </c>
      <c r="U63" s="16" t="s">
        <v>799</v>
      </c>
      <c r="V63" s="150">
        <v>85</v>
      </c>
      <c r="W63" s="93" t="s">
        <v>339</v>
      </c>
      <c r="X63" s="14">
        <f>I41</f>
        <v>7.7</v>
      </c>
      <c r="Y63" s="283">
        <f t="shared" si="54"/>
        <v>27.999999999999989</v>
      </c>
      <c r="Z63" s="14">
        <f>J41</f>
        <v>7.4</v>
      </c>
      <c r="AA63" s="283">
        <f t="shared" si="54"/>
        <v>10</v>
      </c>
      <c r="AB63" s="69">
        <f>Table351550[[#This Row],[Floor4]]+Table351550[[#This Row],[Vault6]]</f>
        <v>15.100000000000001</v>
      </c>
      <c r="AC63" s="283">
        <f t="shared" ref="AC63" si="93">SUMPRODUCT((AB$7:AB$117&gt;AB63)/COUNTIF(AB$7:AB$117,AB$7:AB$117&amp;""))+1</f>
        <v>30.999999999999996</v>
      </c>
    </row>
    <row r="64" spans="1:29">
      <c r="A64" s="364">
        <v>110</v>
      </c>
      <c r="B64" s="281" t="s">
        <v>948</v>
      </c>
      <c r="C64" s="14">
        <v>8.35</v>
      </c>
      <c r="D64" s="14">
        <v>6.6</v>
      </c>
      <c r="E64" s="14">
        <f t="shared" ref="E64:E68" si="94">SUM(C64,D64)</f>
        <v>14.95</v>
      </c>
      <c r="F64" s="8"/>
      <c r="G64" s="364">
        <v>116</v>
      </c>
      <c r="H64" s="281" t="s">
        <v>1015</v>
      </c>
      <c r="I64" s="14">
        <v>8.85</v>
      </c>
      <c r="J64" s="14">
        <v>6.4</v>
      </c>
      <c r="K64" s="14">
        <f t="shared" ref="K64:K68" si="95">SUM(I64,J64)</f>
        <v>15.25</v>
      </c>
      <c r="L64" s="267"/>
      <c r="M64" s="364">
        <v>122</v>
      </c>
      <c r="N64" s="281" t="s">
        <v>459</v>
      </c>
      <c r="O64" s="13">
        <v>5</v>
      </c>
      <c r="P64" s="13">
        <v>7.3</v>
      </c>
      <c r="Q64" s="13">
        <f t="shared" ref="Q64:Q68" si="96">SUM(O64,P64)</f>
        <v>12.3</v>
      </c>
      <c r="U64" s="16" t="s">
        <v>799</v>
      </c>
      <c r="V64" s="150">
        <v>86</v>
      </c>
      <c r="W64" s="93" t="s">
        <v>355</v>
      </c>
      <c r="X64" s="14">
        <f t="shared" ref="X64:X68" si="97">I42</f>
        <v>7.7</v>
      </c>
      <c r="Y64" s="283">
        <f t="shared" si="54"/>
        <v>27.999999999999989</v>
      </c>
      <c r="Z64" s="14">
        <f t="shared" ref="Z64:Z67" si="98">J42</f>
        <v>7.8</v>
      </c>
      <c r="AA64" s="283">
        <f t="shared" si="54"/>
        <v>6</v>
      </c>
      <c r="AB64" s="69">
        <f>Table351550[[#This Row],[Floor4]]+Table351550[[#This Row],[Vault6]]</f>
        <v>15.5</v>
      </c>
      <c r="AC64" s="283">
        <f t="shared" ref="AC64" si="99">SUMPRODUCT((AB$7:AB$117&gt;AB64)/COUNTIF(AB$7:AB$117,AB$7:AB$117&amp;""))+1</f>
        <v>24</v>
      </c>
    </row>
    <row r="65" spans="1:29">
      <c r="A65" s="364">
        <v>111</v>
      </c>
      <c r="B65" s="95" t="s">
        <v>949</v>
      </c>
      <c r="C65" s="14">
        <v>8.5500000000000007</v>
      </c>
      <c r="D65" s="14">
        <v>6.7</v>
      </c>
      <c r="E65" s="14">
        <f t="shared" si="94"/>
        <v>15.25</v>
      </c>
      <c r="F65" s="8"/>
      <c r="G65" s="364">
        <v>117</v>
      </c>
      <c r="H65" s="95" t="s">
        <v>1016</v>
      </c>
      <c r="I65" s="14">
        <v>8.4499999999999993</v>
      </c>
      <c r="J65" s="14">
        <v>7.6</v>
      </c>
      <c r="K65" s="14">
        <f t="shared" si="95"/>
        <v>16.049999999999997</v>
      </c>
      <c r="L65" s="267"/>
      <c r="M65" s="364">
        <v>123</v>
      </c>
      <c r="N65" s="95" t="s">
        <v>1096</v>
      </c>
      <c r="O65" s="13">
        <v>5</v>
      </c>
      <c r="P65" s="13">
        <v>6.6</v>
      </c>
      <c r="Q65" s="13">
        <f t="shared" si="96"/>
        <v>11.6</v>
      </c>
      <c r="U65" s="16" t="s">
        <v>799</v>
      </c>
      <c r="V65" s="150">
        <v>87</v>
      </c>
      <c r="W65" s="93" t="s">
        <v>809</v>
      </c>
      <c r="X65" s="14">
        <f t="shared" si="97"/>
        <v>7.8</v>
      </c>
      <c r="Y65" s="283">
        <f t="shared" si="54"/>
        <v>25.999999999999993</v>
      </c>
      <c r="Z65" s="14">
        <f t="shared" si="98"/>
        <v>6.1</v>
      </c>
      <c r="AA65" s="283">
        <f t="shared" si="54"/>
        <v>22.999999999999986</v>
      </c>
      <c r="AB65" s="69">
        <f>Table351550[[#This Row],[Floor4]]+Table351550[[#This Row],[Vault6]]</f>
        <v>13.899999999999999</v>
      </c>
      <c r="AC65" s="283">
        <f t="shared" ref="AC65" si="100">SUMPRODUCT((AB$7:AB$117&gt;AB65)/COUNTIF(AB$7:AB$117,AB$7:AB$117&amp;""))+1</f>
        <v>47.000000000000007</v>
      </c>
    </row>
    <row r="66" spans="1:29">
      <c r="A66" s="364">
        <v>112</v>
      </c>
      <c r="B66" s="95" t="s">
        <v>950</v>
      </c>
      <c r="C66" s="14">
        <v>8.3000000000000007</v>
      </c>
      <c r="D66" s="14">
        <v>6.4</v>
      </c>
      <c r="E66" s="14">
        <f t="shared" si="94"/>
        <v>14.700000000000001</v>
      </c>
      <c r="F66" s="8"/>
      <c r="G66" s="364">
        <v>118</v>
      </c>
      <c r="H66" s="95" t="s">
        <v>1017</v>
      </c>
      <c r="I66" s="14">
        <v>8.6</v>
      </c>
      <c r="J66" s="14">
        <v>6.6</v>
      </c>
      <c r="K66" s="14">
        <f t="shared" si="95"/>
        <v>15.2</v>
      </c>
      <c r="L66" s="267"/>
      <c r="M66" s="408">
        <v>124</v>
      </c>
      <c r="N66" s="439" t="s">
        <v>1097</v>
      </c>
      <c r="O66" s="398">
        <v>0</v>
      </c>
      <c r="P66" s="398">
        <v>0</v>
      </c>
      <c r="Q66" s="398">
        <f t="shared" si="96"/>
        <v>0</v>
      </c>
      <c r="U66" s="16" t="s">
        <v>799</v>
      </c>
      <c r="V66" s="150">
        <v>88</v>
      </c>
      <c r="W66" s="93" t="s">
        <v>810</v>
      </c>
      <c r="X66" s="14">
        <f>I44</f>
        <v>7.5</v>
      </c>
      <c r="Y66" s="283">
        <f t="shared" si="54"/>
        <v>31.999999999999982</v>
      </c>
      <c r="Z66" s="14">
        <f>J44</f>
        <v>6</v>
      </c>
      <c r="AA66" s="283">
        <f t="shared" si="54"/>
        <v>23.999999999999986</v>
      </c>
      <c r="AB66" s="69">
        <f>Table351550[[#This Row],[Floor4]]+Table351550[[#This Row],[Vault6]]</f>
        <v>13.5</v>
      </c>
      <c r="AC66" s="283">
        <f t="shared" ref="AC66" si="101">SUMPRODUCT((AB$7:AB$117&gt;AB66)/COUNTIF(AB$7:AB$117,AB$7:AB$117&amp;""))+1</f>
        <v>51.000000000000014</v>
      </c>
    </row>
    <row r="67" spans="1:29">
      <c r="A67" s="364">
        <v>113</v>
      </c>
      <c r="B67" s="95" t="s">
        <v>951</v>
      </c>
      <c r="C67" s="14">
        <v>8.15</v>
      </c>
      <c r="D67" s="14">
        <v>7.7</v>
      </c>
      <c r="E67" s="14">
        <f t="shared" si="94"/>
        <v>15.850000000000001</v>
      </c>
      <c r="F67" s="8"/>
      <c r="G67" s="364">
        <v>119</v>
      </c>
      <c r="H67" s="95" t="s">
        <v>390</v>
      </c>
      <c r="I67" s="14">
        <v>8.1</v>
      </c>
      <c r="J67" s="14">
        <v>6.9</v>
      </c>
      <c r="K67" s="14">
        <f t="shared" si="95"/>
        <v>15</v>
      </c>
      <c r="L67" s="267"/>
      <c r="M67" s="364">
        <v>125</v>
      </c>
      <c r="N67" s="95" t="s">
        <v>1098</v>
      </c>
      <c r="O67" s="13">
        <v>5</v>
      </c>
      <c r="P67" s="13">
        <v>7.3</v>
      </c>
      <c r="Q67" s="13">
        <f t="shared" si="96"/>
        <v>12.3</v>
      </c>
      <c r="U67" s="16" t="s">
        <v>799</v>
      </c>
      <c r="V67" s="150">
        <v>89</v>
      </c>
      <c r="W67" s="93" t="s">
        <v>335</v>
      </c>
      <c r="X67" s="14">
        <f t="shared" si="97"/>
        <v>7.45</v>
      </c>
      <c r="Y67" s="283">
        <f t="shared" si="54"/>
        <v>32.999999999999986</v>
      </c>
      <c r="Z67" s="14">
        <f t="shared" si="98"/>
        <v>6.5</v>
      </c>
      <c r="AA67" s="283">
        <f t="shared" si="54"/>
        <v>18.999999999999993</v>
      </c>
      <c r="AB67" s="69">
        <f>Table351550[[#This Row],[Floor4]]+Table351550[[#This Row],[Vault6]]</f>
        <v>13.95</v>
      </c>
      <c r="AC67" s="283">
        <f t="shared" ref="AC67" si="102">SUMPRODUCT((AB$7:AB$117&gt;AB67)/COUNTIF(AB$7:AB$117,AB$7:AB$117&amp;""))+1</f>
        <v>46</v>
      </c>
    </row>
    <row r="68" spans="1:29">
      <c r="A68" s="364">
        <v>114</v>
      </c>
      <c r="B68" s="95" t="s">
        <v>952</v>
      </c>
      <c r="C68" s="14">
        <v>8.5500000000000007</v>
      </c>
      <c r="D68" s="14">
        <v>6.3</v>
      </c>
      <c r="E68" s="14">
        <f t="shared" si="94"/>
        <v>14.850000000000001</v>
      </c>
      <c r="F68" s="8"/>
      <c r="G68" s="364">
        <v>120</v>
      </c>
      <c r="H68" s="95" t="s">
        <v>1018</v>
      </c>
      <c r="I68" s="14">
        <v>7.75</v>
      </c>
      <c r="J68" s="14">
        <v>0</v>
      </c>
      <c r="K68" s="14">
        <f t="shared" si="95"/>
        <v>7.75</v>
      </c>
      <c r="L68" s="267"/>
      <c r="M68" s="364">
        <v>126</v>
      </c>
      <c r="N68" s="108" t="s">
        <v>1346</v>
      </c>
      <c r="O68" s="13">
        <v>5</v>
      </c>
      <c r="P68" s="13">
        <v>7.7</v>
      </c>
      <c r="Q68" s="13">
        <f t="shared" si="96"/>
        <v>12.7</v>
      </c>
      <c r="U68" s="16" t="s">
        <v>799</v>
      </c>
      <c r="V68" s="150">
        <v>90</v>
      </c>
      <c r="W68" s="93" t="s">
        <v>811</v>
      </c>
      <c r="X68" s="14">
        <f t="shared" si="97"/>
        <v>8.25</v>
      </c>
      <c r="Y68" s="283">
        <f t="shared" si="54"/>
        <v>19.999999999999996</v>
      </c>
      <c r="Z68" s="14">
        <f>J46</f>
        <v>6.6</v>
      </c>
      <c r="AA68" s="283">
        <f t="shared" si="54"/>
        <v>17.999999999999993</v>
      </c>
      <c r="AB68" s="69">
        <f>Table351550[[#This Row],[Floor4]]+Table351550[[#This Row],[Vault6]]</f>
        <v>14.85</v>
      </c>
      <c r="AC68" s="283">
        <f t="shared" ref="AC68" si="103">SUMPRODUCT((AB$7:AB$117&gt;AB68)/COUNTIF(AB$7:AB$117,AB$7:AB$117&amp;""))+1</f>
        <v>34.999999999999993</v>
      </c>
    </row>
    <row r="69" spans="1:29" ht="16.5" thickBot="1">
      <c r="A69" s="8"/>
      <c r="B69" s="18" t="s">
        <v>10</v>
      </c>
      <c r="C69" s="19">
        <f>SUM(C63:C68)-SMALL(C63:C68,1)-SMALL(C63:C68,2)</f>
        <v>34.599999999999994</v>
      </c>
      <c r="D69" s="19">
        <f>SUM(D63:D68)-SMALL(D63:D68,1)-SMALL(D63:D68,2)</f>
        <v>27.700000000000003</v>
      </c>
      <c r="E69" s="20">
        <f>SUM(C69:D69)</f>
        <v>62.3</v>
      </c>
      <c r="F69" s="8"/>
      <c r="G69" s="8"/>
      <c r="H69" s="18" t="s">
        <v>10</v>
      </c>
      <c r="I69" s="19">
        <f>SUM(I63:I68)-SMALL(I63:I68,1)-SMALL(I63:I68,2)</f>
        <v>34</v>
      </c>
      <c r="J69" s="19">
        <f>SUM(J63:J68)-SMALL(J63:J68,1)-SMALL(J63:J68,2)</f>
        <v>29.5</v>
      </c>
      <c r="K69" s="20">
        <f>SUM(I69:J69)</f>
        <v>63.5</v>
      </c>
      <c r="L69" s="267"/>
      <c r="M69" s="8"/>
      <c r="N69" s="18" t="s">
        <v>10</v>
      </c>
      <c r="O69" s="19">
        <f>SUM(O63:O68)-SMALL(O63:O68,1)-SMALL(O63:O68,2)</f>
        <v>20</v>
      </c>
      <c r="P69" s="19">
        <f>SUM(P63:P68)-SMALL(P63:P68,1)-SMALL(P63:P68,2)</f>
        <v>29.799999999999997</v>
      </c>
      <c r="Q69" s="20">
        <f>SUM(O69:P69)</f>
        <v>49.8</v>
      </c>
      <c r="U69" s="16" t="s">
        <v>222</v>
      </c>
      <c r="V69" s="150">
        <v>91</v>
      </c>
      <c r="W69" s="93" t="s">
        <v>834</v>
      </c>
      <c r="X69" s="14">
        <f>O41</f>
        <v>8.5</v>
      </c>
      <c r="Y69" s="283">
        <f t="shared" si="54"/>
        <v>14.999999999999996</v>
      </c>
      <c r="Z69" s="14">
        <f>P41</f>
        <v>7.1</v>
      </c>
      <c r="AA69" s="283">
        <f t="shared" si="54"/>
        <v>12.999999999999995</v>
      </c>
      <c r="AB69" s="69">
        <f>Table351550[[#This Row],[Floor4]]+Table351550[[#This Row],[Vault6]]</f>
        <v>15.6</v>
      </c>
      <c r="AC69" s="283">
        <f t="shared" ref="AC69" si="104">SUMPRODUCT((AB$7:AB$117&gt;AB69)/COUNTIF(AB$7:AB$117,AB$7:AB$117&amp;""))+1</f>
        <v>22</v>
      </c>
    </row>
    <row r="70" spans="1:29">
      <c r="A70" s="8"/>
      <c r="B70" s="21" t="s">
        <v>37</v>
      </c>
      <c r="C70" s="8"/>
      <c r="D70" s="18"/>
      <c r="E70" s="22"/>
      <c r="F70" s="8"/>
      <c r="G70" s="8"/>
      <c r="H70" s="21" t="s">
        <v>37</v>
      </c>
      <c r="I70" s="8"/>
      <c r="J70" s="18"/>
      <c r="K70" s="22"/>
      <c r="L70" s="267"/>
      <c r="M70" s="8"/>
      <c r="N70" s="21" t="s">
        <v>37</v>
      </c>
      <c r="P70" s="25"/>
      <c r="Q70" s="26"/>
      <c r="U70" s="16" t="s">
        <v>222</v>
      </c>
      <c r="V70" s="150">
        <v>92</v>
      </c>
      <c r="W70" s="93" t="s">
        <v>835</v>
      </c>
      <c r="X70" s="14">
        <f t="shared" ref="X70:X74" si="105">O42</f>
        <v>8.4</v>
      </c>
      <c r="Y70" s="283">
        <f t="shared" si="54"/>
        <v>17</v>
      </c>
      <c r="Z70" s="14">
        <f t="shared" ref="Z70:Z74" si="106">P42</f>
        <v>7</v>
      </c>
      <c r="AA70" s="283">
        <f t="shared" si="54"/>
        <v>13.999999999999991</v>
      </c>
      <c r="AB70" s="69">
        <f>Table351550[[#This Row],[Floor4]]+Table351550[[#This Row],[Vault6]]</f>
        <v>15.4</v>
      </c>
      <c r="AC70" s="283">
        <f t="shared" ref="AC70" si="107">SUMPRODUCT((AB$7:AB$117&gt;AB70)/COUNTIF(AB$7:AB$117,AB$7:AB$117&amp;""))+1</f>
        <v>26</v>
      </c>
    </row>
    <row r="71" spans="1:29">
      <c r="U71" s="16" t="s">
        <v>222</v>
      </c>
      <c r="V71" s="150">
        <v>93</v>
      </c>
      <c r="W71" s="93" t="s">
        <v>836</v>
      </c>
      <c r="X71" s="14">
        <f t="shared" si="105"/>
        <v>8.8000000000000007</v>
      </c>
      <c r="Y71" s="283">
        <f t="shared" ref="Y71:AA102" si="108">SUMPRODUCT((X$7:X$117&gt;X71)/COUNTIF(X$7:X$117,X$7:X$117&amp;""))+1</f>
        <v>9</v>
      </c>
      <c r="Z71" s="14">
        <f t="shared" si="106"/>
        <v>7.4</v>
      </c>
      <c r="AA71" s="283">
        <f t="shared" si="108"/>
        <v>10</v>
      </c>
      <c r="AB71" s="69">
        <f>Table351550[[#This Row],[Floor4]]+Table351550[[#This Row],[Vault6]]</f>
        <v>16.200000000000003</v>
      </c>
      <c r="AC71" s="283">
        <f t="shared" ref="AC71" si="109">SUMPRODUCT((AB$7:AB$117&gt;AB71)/COUNTIF(AB$7:AB$117,AB$7:AB$117&amp;""))+1</f>
        <v>13</v>
      </c>
    </row>
    <row r="72" spans="1:29">
      <c r="A72" s="348" t="s">
        <v>1320</v>
      </c>
      <c r="B72" s="349"/>
      <c r="C72" s="349"/>
      <c r="D72" s="349"/>
      <c r="E72" s="350"/>
      <c r="F72" s="267"/>
      <c r="G72" s="348" t="s">
        <v>1299</v>
      </c>
      <c r="H72" s="349"/>
      <c r="I72" s="349"/>
      <c r="J72" s="349"/>
      <c r="K72" s="221"/>
      <c r="M72" s="239"/>
      <c r="N72" s="39" t="s">
        <v>12</v>
      </c>
      <c r="O72" s="43" t="s">
        <v>5</v>
      </c>
      <c r="P72" s="44" t="s">
        <v>11</v>
      </c>
      <c r="Q72" s="239"/>
      <c r="U72" s="16" t="s">
        <v>222</v>
      </c>
      <c r="V72" s="150">
        <v>94</v>
      </c>
      <c r="W72" s="93" t="s">
        <v>837</v>
      </c>
      <c r="X72" s="14">
        <f>O44</f>
        <v>7.95</v>
      </c>
      <c r="Y72" s="283">
        <f t="shared" si="108"/>
        <v>24.999999999999996</v>
      </c>
      <c r="Z72" s="14">
        <f>P44</f>
        <v>7.2</v>
      </c>
      <c r="AA72" s="283">
        <f t="shared" si="108"/>
        <v>11.999999999999996</v>
      </c>
      <c r="AB72" s="69">
        <f>Table351550[[#This Row],[Floor4]]+Table351550[[#This Row],[Vault6]]</f>
        <v>15.15</v>
      </c>
      <c r="AC72" s="283">
        <f t="shared" ref="AC72" si="110">SUMPRODUCT((AB$7:AB$117&gt;AB72)/COUNTIF(AB$7:AB$117,AB$7:AB$117&amp;""))+1</f>
        <v>29.999999999999996</v>
      </c>
    </row>
    <row r="73" spans="1:29">
      <c r="A73" s="354" t="s">
        <v>1</v>
      </c>
      <c r="B73" s="354" t="s">
        <v>2</v>
      </c>
      <c r="C73" s="354" t="s">
        <v>3</v>
      </c>
      <c r="D73" s="354" t="s">
        <v>4</v>
      </c>
      <c r="E73" s="354" t="s">
        <v>5</v>
      </c>
      <c r="F73" s="8"/>
      <c r="G73" s="354" t="s">
        <v>1</v>
      </c>
      <c r="H73" s="354" t="s">
        <v>2</v>
      </c>
      <c r="I73" s="354" t="s">
        <v>3</v>
      </c>
      <c r="J73" s="354" t="s">
        <v>4</v>
      </c>
      <c r="K73" s="9" t="s">
        <v>5</v>
      </c>
      <c r="M73" s="111"/>
      <c r="N73" s="7" t="s">
        <v>227</v>
      </c>
      <c r="O73" s="47">
        <f>E14</f>
        <v>66</v>
      </c>
      <c r="P73" s="40">
        <f>SUMPRODUCT((O$73:O$90&gt;O73)/COUNTIF(O$73:O$90,O$73:O$90&amp;""))+1</f>
        <v>2</v>
      </c>
      <c r="Q73" s="111"/>
      <c r="U73" s="16" t="s">
        <v>222</v>
      </c>
      <c r="V73" s="150">
        <v>95</v>
      </c>
      <c r="W73" s="100" t="s">
        <v>838</v>
      </c>
      <c r="X73" s="14">
        <f t="shared" si="105"/>
        <v>8.35</v>
      </c>
      <c r="Y73" s="283">
        <f t="shared" si="108"/>
        <v>17.999999999999996</v>
      </c>
      <c r="Z73" s="14">
        <f t="shared" si="106"/>
        <v>7.7</v>
      </c>
      <c r="AA73" s="283">
        <f t="shared" si="108"/>
        <v>7</v>
      </c>
      <c r="AB73" s="69">
        <f>Table351550[[#This Row],[Floor4]]+Table351550[[#This Row],[Vault6]]</f>
        <v>16.05</v>
      </c>
      <c r="AC73" s="283">
        <f t="shared" ref="AC73" si="111">SUMPRODUCT((AB$7:AB$117&gt;AB73)/COUNTIF(AB$7:AB$117,AB$7:AB$117&amp;""))+1</f>
        <v>16</v>
      </c>
    </row>
    <row r="74" spans="1:29">
      <c r="A74" s="408">
        <v>127</v>
      </c>
      <c r="B74" s="409" t="s">
        <v>658</v>
      </c>
      <c r="C74" s="401">
        <v>0</v>
      </c>
      <c r="D74" s="401">
        <v>0</v>
      </c>
      <c r="E74" s="401">
        <f>SUM(C74,D74)</f>
        <v>0</v>
      </c>
      <c r="F74" s="8"/>
      <c r="G74" s="150">
        <v>128</v>
      </c>
      <c r="H74" s="108" t="s">
        <v>688</v>
      </c>
      <c r="I74" s="14">
        <v>8</v>
      </c>
      <c r="J74" s="14">
        <v>8</v>
      </c>
      <c r="K74" s="13">
        <f t="shared" ref="K74" si="112">SUM(I74,J74)</f>
        <v>16</v>
      </c>
      <c r="M74" s="152"/>
      <c r="N74" s="7" t="s">
        <v>1255</v>
      </c>
      <c r="O74" s="47">
        <f>K14</f>
        <v>64.099999999999994</v>
      </c>
      <c r="P74" s="40">
        <f t="shared" ref="P74:P90" si="113">SUMPRODUCT((O$73:O$90&gt;O74)/COUNTIF(O$73:O$90,O$73:O$90&amp;""))+1</f>
        <v>4</v>
      </c>
      <c r="Q74" s="73"/>
      <c r="U74" s="16" t="s">
        <v>222</v>
      </c>
      <c r="V74" s="150">
        <v>96</v>
      </c>
      <c r="W74" s="100" t="s">
        <v>839</v>
      </c>
      <c r="X74" s="14">
        <f t="shared" si="105"/>
        <v>8.6</v>
      </c>
      <c r="Y74" s="283">
        <f t="shared" si="108"/>
        <v>12.999999999999998</v>
      </c>
      <c r="Z74" s="14">
        <f t="shared" si="106"/>
        <v>7.4</v>
      </c>
      <c r="AA74" s="283">
        <f t="shared" si="108"/>
        <v>10</v>
      </c>
      <c r="AB74" s="69">
        <f>Table351550[[#This Row],[Floor4]]+Table351550[[#This Row],[Vault6]]</f>
        <v>16</v>
      </c>
      <c r="AC74" s="283">
        <f t="shared" ref="AC74" si="114">SUMPRODUCT((AB$7:AB$117&gt;AB74)/COUNTIF(AB$7:AB$117,AB$7:AB$117&amp;""))+1</f>
        <v>17</v>
      </c>
    </row>
    <row r="75" spans="1:29">
      <c r="A75" s="8"/>
      <c r="B75" s="8"/>
      <c r="C75" s="8"/>
      <c r="D75" s="8"/>
      <c r="E75" s="8"/>
      <c r="F75" s="8"/>
      <c r="G75" s="8"/>
      <c r="H75" s="8"/>
      <c r="I75" s="8"/>
      <c r="J75" s="8"/>
      <c r="M75" s="152"/>
      <c r="N75" s="7" t="s">
        <v>1256</v>
      </c>
      <c r="O75" s="47">
        <f>Q14</f>
        <v>58.349999999999994</v>
      </c>
      <c r="P75" s="40">
        <f t="shared" si="113"/>
        <v>13</v>
      </c>
      <c r="Q75" s="73"/>
      <c r="U75" s="16" t="s">
        <v>854</v>
      </c>
      <c r="V75" s="150">
        <v>129</v>
      </c>
      <c r="W75" s="16" t="s">
        <v>856</v>
      </c>
      <c r="X75" s="14">
        <f>C52</f>
        <v>8.5</v>
      </c>
      <c r="Y75" s="283">
        <f t="shared" si="108"/>
        <v>14.999999999999996</v>
      </c>
      <c r="Z75" s="14">
        <f>D52</f>
        <v>6.6</v>
      </c>
      <c r="AA75" s="283">
        <f t="shared" si="108"/>
        <v>17.999999999999993</v>
      </c>
      <c r="AB75" s="69">
        <f>Table351550[[#This Row],[Floor4]]+Table351550[[#This Row],[Vault6]]</f>
        <v>15.1</v>
      </c>
      <c r="AC75" s="283">
        <f t="shared" ref="AC75" si="115">SUMPRODUCT((AB$7:AB$117&gt;AB75)/COUNTIF(AB$7:AB$117,AB$7:AB$117&amp;""))+1</f>
        <v>30.999999999999996</v>
      </c>
    </row>
    <row r="76" spans="1:29">
      <c r="A76" s="351"/>
      <c r="B76" s="351"/>
      <c r="C76" s="351"/>
      <c r="D76" s="351"/>
      <c r="E76" s="351"/>
      <c r="F76" s="8"/>
      <c r="G76" s="348" t="s">
        <v>1314</v>
      </c>
      <c r="H76" s="349"/>
      <c r="I76" s="349"/>
      <c r="J76" s="349"/>
      <c r="K76" s="162"/>
      <c r="N76" s="7" t="s">
        <v>544</v>
      </c>
      <c r="O76" s="46">
        <f>E25</f>
        <v>59.349999999999994</v>
      </c>
      <c r="P76" s="40">
        <f t="shared" si="113"/>
        <v>12</v>
      </c>
      <c r="U76" s="16" t="s">
        <v>854</v>
      </c>
      <c r="V76" s="150">
        <v>130</v>
      </c>
      <c r="W76" s="16" t="s">
        <v>857</v>
      </c>
      <c r="X76" s="14">
        <f t="shared" ref="X76:X78" si="116">C53</f>
        <v>8.3000000000000007</v>
      </c>
      <c r="Y76" s="283">
        <f t="shared" si="108"/>
        <v>18.999999999999993</v>
      </c>
      <c r="Z76" s="14">
        <f t="shared" ref="Z76:Z78" si="117">D53</f>
        <v>6.4</v>
      </c>
      <c r="AA76" s="283">
        <f t="shared" si="108"/>
        <v>19.999999999999989</v>
      </c>
      <c r="AB76" s="69">
        <f>Table351550[[#This Row],[Floor4]]+Table351550[[#This Row],[Vault6]]</f>
        <v>14.700000000000001</v>
      </c>
      <c r="AC76" s="283">
        <f t="shared" ref="AC76" si="118">SUMPRODUCT((AB$7:AB$117&gt;AB76)/COUNTIF(AB$7:AB$117,AB$7:AB$117&amp;""))+1</f>
        <v>37</v>
      </c>
    </row>
    <row r="77" spans="1:29">
      <c r="A77" s="77"/>
      <c r="B77" s="77"/>
      <c r="C77" s="77"/>
      <c r="D77" s="77"/>
      <c r="E77" s="77"/>
      <c r="F77" s="8"/>
      <c r="G77" s="354" t="s">
        <v>1</v>
      </c>
      <c r="H77" s="354" t="s">
        <v>2</v>
      </c>
      <c r="I77" s="354" t="s">
        <v>3</v>
      </c>
      <c r="J77" s="354" t="s">
        <v>4</v>
      </c>
      <c r="K77" s="9" t="s">
        <v>5</v>
      </c>
      <c r="N77" s="45" t="s">
        <v>548</v>
      </c>
      <c r="O77" s="62">
        <f>K25</f>
        <v>68.550000000000011</v>
      </c>
      <c r="P77" s="40">
        <f t="shared" si="113"/>
        <v>1</v>
      </c>
      <c r="U77" s="16" t="s">
        <v>854</v>
      </c>
      <c r="V77" s="150">
        <v>131</v>
      </c>
      <c r="W77" s="16" t="s">
        <v>858</v>
      </c>
      <c r="X77" s="14">
        <f>C54</f>
        <v>8.6999999999999993</v>
      </c>
      <c r="Y77" s="283">
        <f t="shared" si="108"/>
        <v>10.999999999999996</v>
      </c>
      <c r="Z77" s="14">
        <f>D54</f>
        <v>7.4</v>
      </c>
      <c r="AA77" s="283">
        <f t="shared" si="108"/>
        <v>10</v>
      </c>
      <c r="AB77" s="69">
        <f>Table351550[[#This Row],[Floor4]]+Table351550[[#This Row],[Vault6]]</f>
        <v>16.100000000000001</v>
      </c>
      <c r="AC77" s="283">
        <f t="shared" ref="AC77" si="119">SUMPRODUCT((AB$7:AB$117&gt;AB77)/COUNTIF(AB$7:AB$117,AB$7:AB$117&amp;""))+1</f>
        <v>15</v>
      </c>
    </row>
    <row r="78" spans="1:29">
      <c r="A78" s="165"/>
      <c r="B78" s="267"/>
      <c r="C78" s="68"/>
      <c r="D78" s="68"/>
      <c r="E78" s="68"/>
      <c r="F78" s="8"/>
      <c r="G78" s="150">
        <v>132</v>
      </c>
      <c r="H78" s="95" t="s">
        <v>926</v>
      </c>
      <c r="I78" s="14">
        <v>7.6</v>
      </c>
      <c r="J78" s="14">
        <v>7</v>
      </c>
      <c r="K78" s="13">
        <f>SUM(I78,J78)</f>
        <v>14.6</v>
      </c>
      <c r="N78" s="54" t="s">
        <v>549</v>
      </c>
      <c r="O78" s="64">
        <f>Q25</f>
        <v>64.25</v>
      </c>
      <c r="P78" s="40">
        <f t="shared" si="113"/>
        <v>3</v>
      </c>
      <c r="U78" s="16" t="s">
        <v>854</v>
      </c>
      <c r="V78" s="364">
        <v>237</v>
      </c>
      <c r="W78" s="240" t="s">
        <v>1364</v>
      </c>
      <c r="X78" s="14">
        <f t="shared" si="116"/>
        <v>8.35</v>
      </c>
      <c r="Y78" s="283">
        <f t="shared" si="108"/>
        <v>17.999999999999996</v>
      </c>
      <c r="Z78" s="14">
        <f t="shared" si="117"/>
        <v>6.4</v>
      </c>
      <c r="AA78" s="283">
        <f t="shared" si="108"/>
        <v>19.999999999999989</v>
      </c>
      <c r="AB78" s="69">
        <f>Table351550[[#This Row],[Floor4]]+Table351550[[#This Row],[Vault6]]</f>
        <v>14.75</v>
      </c>
      <c r="AC78" s="283">
        <f t="shared" ref="AC78" si="120">SUMPRODUCT((AB$7:AB$117&gt;AB78)/COUNTIF(AB$7:AB$117,AB$7:AB$117&amp;""))+1</f>
        <v>36</v>
      </c>
    </row>
    <row r="79" spans="1:29">
      <c r="A79" s="165"/>
      <c r="B79" s="267"/>
      <c r="C79" s="68"/>
      <c r="D79" s="68"/>
      <c r="E79" s="68"/>
      <c r="F79" s="8"/>
      <c r="G79" s="150">
        <v>133</v>
      </c>
      <c r="H79" s="108" t="s">
        <v>927</v>
      </c>
      <c r="I79" s="14">
        <v>8.0500000000000007</v>
      </c>
      <c r="J79" s="14">
        <v>7.9</v>
      </c>
      <c r="K79" s="13">
        <f>SUM(I79,J79)</f>
        <v>15.950000000000001</v>
      </c>
      <c r="N79" s="54" t="s">
        <v>1257</v>
      </c>
      <c r="O79" s="62">
        <f>E36</f>
        <v>61.7</v>
      </c>
      <c r="P79" s="40">
        <f t="shared" si="113"/>
        <v>9</v>
      </c>
      <c r="U79" s="16" t="s">
        <v>99</v>
      </c>
      <c r="V79" s="364">
        <v>97</v>
      </c>
      <c r="W79" s="99" t="s">
        <v>870</v>
      </c>
      <c r="X79" s="14">
        <f>I52</f>
        <v>8.35</v>
      </c>
      <c r="Y79" s="283">
        <f t="shared" si="108"/>
        <v>17.999999999999996</v>
      </c>
      <c r="Z79" s="14">
        <f>J52</f>
        <v>7.2</v>
      </c>
      <c r="AA79" s="283">
        <f t="shared" si="108"/>
        <v>11.999999999999996</v>
      </c>
      <c r="AB79" s="69">
        <f>Table351550[[#This Row],[Floor4]]+Table351550[[#This Row],[Vault6]]</f>
        <v>15.55</v>
      </c>
      <c r="AC79" s="283">
        <f t="shared" ref="AC79" si="121">SUMPRODUCT((AB$7:AB$117&gt;AB79)/COUNTIF(AB$7:AB$117,AB$7:AB$117&amp;""))+1</f>
        <v>23</v>
      </c>
    </row>
    <row r="80" spans="1:29">
      <c r="A80" s="165"/>
      <c r="B80" s="267"/>
      <c r="C80" s="68"/>
      <c r="D80" s="68"/>
      <c r="E80" s="68"/>
      <c r="F80" s="8"/>
      <c r="G80" s="150">
        <v>134</v>
      </c>
      <c r="H80" s="108" t="s">
        <v>928</v>
      </c>
      <c r="I80" s="14">
        <v>8.5500000000000007</v>
      </c>
      <c r="J80" s="14">
        <v>7.9</v>
      </c>
      <c r="K80" s="13">
        <f>SUM(I80,J80)</f>
        <v>16.450000000000003</v>
      </c>
      <c r="N80" s="63" t="s">
        <v>1258</v>
      </c>
      <c r="O80" s="64">
        <f>K36</f>
        <v>57.5</v>
      </c>
      <c r="P80" s="40">
        <f t="shared" si="113"/>
        <v>14</v>
      </c>
      <c r="U80" s="406" t="s">
        <v>99</v>
      </c>
      <c r="V80" s="408">
        <v>98</v>
      </c>
      <c r="W80" s="411" t="s">
        <v>875</v>
      </c>
      <c r="X80" s="401">
        <f t="shared" ref="X80:X84" si="122">I53</f>
        <v>0</v>
      </c>
      <c r="Y80" s="402">
        <f t="shared" si="108"/>
        <v>41.000000000000021</v>
      </c>
      <c r="Z80" s="401">
        <f t="shared" ref="Z80:Z84" si="123">J53</f>
        <v>0</v>
      </c>
      <c r="AA80" s="402">
        <f t="shared" si="108"/>
        <v>28.999999999999982</v>
      </c>
      <c r="AB80" s="403">
        <f>Table351550[[#This Row],[Floor4]]+Table351550[[#This Row],[Vault6]]</f>
        <v>0</v>
      </c>
      <c r="AC80" s="402">
        <f t="shared" ref="AC80" si="124">SUMPRODUCT((AB$7:AB$117&gt;AB80)/COUNTIF(AB$7:AB$117,AB$7:AB$117&amp;""))+1</f>
        <v>63.000000000000007</v>
      </c>
    </row>
    <row r="81" spans="1:29">
      <c r="A81" s="267"/>
      <c r="B81" s="267"/>
      <c r="C81" s="267"/>
      <c r="D81" s="267"/>
      <c r="E81" s="267"/>
      <c r="F81" s="8"/>
      <c r="G81" s="8"/>
      <c r="H81" s="8"/>
      <c r="I81" s="8"/>
      <c r="J81" s="8"/>
      <c r="N81" s="63" t="s">
        <v>1259</v>
      </c>
      <c r="O81" s="64">
        <f>Q36</f>
        <v>62.149999999999991</v>
      </c>
      <c r="P81" s="40">
        <f t="shared" si="113"/>
        <v>8</v>
      </c>
      <c r="U81" s="16" t="s">
        <v>99</v>
      </c>
      <c r="V81" s="364">
        <v>99</v>
      </c>
      <c r="W81" s="93" t="s">
        <v>874</v>
      </c>
      <c r="X81" s="14">
        <f t="shared" si="122"/>
        <v>8.25</v>
      </c>
      <c r="Y81" s="283">
        <f t="shared" si="108"/>
        <v>19.999999999999996</v>
      </c>
      <c r="Z81" s="14">
        <f t="shared" si="123"/>
        <v>7.3</v>
      </c>
      <c r="AA81" s="283">
        <f t="shared" si="108"/>
        <v>10.999999999999996</v>
      </c>
      <c r="AB81" s="69">
        <f>Table351550[[#This Row],[Floor4]]+Table351550[[#This Row],[Vault6]]</f>
        <v>15.55</v>
      </c>
      <c r="AC81" s="283">
        <f t="shared" ref="AC81" si="125">SUMPRODUCT((AB$7:AB$117&gt;AB81)/COUNTIF(AB$7:AB$117,AB$7:AB$117&amp;""))+1</f>
        <v>23</v>
      </c>
    </row>
    <row r="82" spans="1:29">
      <c r="A82" s="267"/>
      <c r="B82" s="267"/>
      <c r="C82" s="267"/>
      <c r="D82" s="267"/>
      <c r="E82" s="267"/>
      <c r="F82" s="267"/>
      <c r="G82" s="8"/>
      <c r="H82" s="8"/>
      <c r="I82" s="8"/>
      <c r="J82" s="8"/>
      <c r="N82" s="63" t="s">
        <v>1260</v>
      </c>
      <c r="O82" s="62">
        <f>E47</f>
        <v>55.45</v>
      </c>
      <c r="P82" s="40">
        <f t="shared" si="113"/>
        <v>15</v>
      </c>
      <c r="U82" s="16" t="s">
        <v>99</v>
      </c>
      <c r="V82" s="364">
        <v>100</v>
      </c>
      <c r="W82" s="93" t="s">
        <v>871</v>
      </c>
      <c r="X82" s="14">
        <f>I55</f>
        <v>8.0500000000000007</v>
      </c>
      <c r="Y82" s="283">
        <f t="shared" si="108"/>
        <v>22.999999999999996</v>
      </c>
      <c r="Z82" s="14">
        <f>J55</f>
        <v>7.7</v>
      </c>
      <c r="AA82" s="283">
        <f t="shared" si="108"/>
        <v>7</v>
      </c>
      <c r="AB82" s="69">
        <f>Table351550[[#This Row],[Floor4]]+Table351550[[#This Row],[Vault6]]</f>
        <v>15.75</v>
      </c>
      <c r="AC82" s="283">
        <f t="shared" ref="AC82" si="126">SUMPRODUCT((AB$7:AB$117&gt;AB82)/COUNTIF(AB$7:AB$117,AB$7:AB$117&amp;""))+1</f>
        <v>21</v>
      </c>
    </row>
    <row r="83" spans="1:29">
      <c r="A83" s="267"/>
      <c r="B83" s="267"/>
      <c r="C83" s="267"/>
      <c r="D83" s="267"/>
      <c r="E83" s="267"/>
      <c r="F83" s="1"/>
      <c r="N83" s="63" t="s">
        <v>319</v>
      </c>
      <c r="O83" s="64">
        <f>K47</f>
        <v>59.749999999999993</v>
      </c>
      <c r="P83" s="40">
        <f t="shared" si="113"/>
        <v>11</v>
      </c>
      <c r="U83" s="16" t="s">
        <v>99</v>
      </c>
      <c r="V83" s="364">
        <v>101</v>
      </c>
      <c r="W83" s="93" t="s">
        <v>872</v>
      </c>
      <c r="X83" s="14">
        <f t="shared" si="122"/>
        <v>8.3000000000000007</v>
      </c>
      <c r="Y83" s="283">
        <f t="shared" si="108"/>
        <v>18.999999999999993</v>
      </c>
      <c r="Z83" s="14">
        <f t="shared" si="123"/>
        <v>7.5</v>
      </c>
      <c r="AA83" s="283">
        <f t="shared" si="108"/>
        <v>9.0000000000000018</v>
      </c>
      <c r="AB83" s="69">
        <f>Table351550[[#This Row],[Floor4]]+Table351550[[#This Row],[Vault6]]</f>
        <v>15.8</v>
      </c>
      <c r="AC83" s="283">
        <f t="shared" ref="AC83" si="127">SUMPRODUCT((AB$7:AB$117&gt;AB83)/COUNTIF(AB$7:AB$117,AB$7:AB$117&amp;""))+1</f>
        <v>20</v>
      </c>
    </row>
    <row r="84" spans="1:29">
      <c r="F84" s="1"/>
      <c r="N84" s="63" t="s">
        <v>157</v>
      </c>
      <c r="O84" s="64">
        <f>Q47</f>
        <v>63.999999999999993</v>
      </c>
      <c r="P84" s="40">
        <f t="shared" si="113"/>
        <v>5</v>
      </c>
      <c r="U84" s="16" t="s">
        <v>99</v>
      </c>
      <c r="V84" s="364">
        <v>102</v>
      </c>
      <c r="W84" s="93" t="s">
        <v>873</v>
      </c>
      <c r="X84" s="14">
        <f t="shared" si="122"/>
        <v>8.6</v>
      </c>
      <c r="Y84" s="283">
        <f t="shared" si="108"/>
        <v>12.999999999999998</v>
      </c>
      <c r="Z84" s="14">
        <f t="shared" si="123"/>
        <v>7.5</v>
      </c>
      <c r="AA84" s="283">
        <f t="shared" si="108"/>
        <v>9.0000000000000018</v>
      </c>
      <c r="AB84" s="69">
        <f>Table351550[[#This Row],[Floor4]]+Table351550[[#This Row],[Vault6]]</f>
        <v>16.100000000000001</v>
      </c>
      <c r="AC84" s="283">
        <f t="shared" ref="AC84" si="128">SUMPRODUCT((AB$7:AB$117&gt;AB84)/COUNTIF(AB$7:AB$117,AB$7:AB$117&amp;""))+1</f>
        <v>15</v>
      </c>
    </row>
    <row r="85" spans="1:29">
      <c r="A85" s="239"/>
      <c r="B85" s="239"/>
      <c r="C85" s="239"/>
      <c r="D85" s="239"/>
      <c r="E85" s="239"/>
      <c r="F85" s="1"/>
      <c r="G85" s="239"/>
      <c r="H85" s="239"/>
      <c r="I85" s="239"/>
      <c r="J85" s="239"/>
      <c r="K85" s="239"/>
      <c r="N85" s="63" t="s">
        <v>369</v>
      </c>
      <c r="O85" s="64">
        <f>K58</f>
        <v>63.5</v>
      </c>
      <c r="P85" s="40">
        <f t="shared" si="113"/>
        <v>6</v>
      </c>
      <c r="U85" s="406" t="s">
        <v>889</v>
      </c>
      <c r="V85" s="408">
        <v>103</v>
      </c>
      <c r="W85" s="411" t="s">
        <v>895</v>
      </c>
      <c r="X85" s="401">
        <f>O52</f>
        <v>0</v>
      </c>
      <c r="Y85" s="402">
        <f t="shared" si="108"/>
        <v>41.000000000000021</v>
      </c>
      <c r="Z85" s="401">
        <f>P52</f>
        <v>0</v>
      </c>
      <c r="AA85" s="402">
        <f t="shared" si="108"/>
        <v>28.999999999999982</v>
      </c>
      <c r="AB85" s="403">
        <f>Table351550[[#This Row],[Floor4]]+Table351550[[#This Row],[Vault6]]</f>
        <v>0</v>
      </c>
      <c r="AC85" s="402">
        <f t="shared" ref="AC85" si="129">SUMPRODUCT((AB$7:AB$117&gt;AB85)/COUNTIF(AB$7:AB$117,AB$7:AB$117&amp;""))+1</f>
        <v>63.000000000000007</v>
      </c>
    </row>
    <row r="86" spans="1:29">
      <c r="A86" s="111"/>
      <c r="B86" s="111"/>
      <c r="C86" s="111"/>
      <c r="D86" s="111"/>
      <c r="E86" s="111"/>
      <c r="F86" s="1"/>
      <c r="G86" s="111"/>
      <c r="H86" s="111"/>
      <c r="I86" s="111"/>
      <c r="J86" s="111"/>
      <c r="K86" s="111"/>
      <c r="N86" s="7" t="s">
        <v>1261</v>
      </c>
      <c r="O86" s="46">
        <f>Q58</f>
        <v>45.45</v>
      </c>
      <c r="P86" s="40">
        <f t="shared" si="113"/>
        <v>17</v>
      </c>
      <c r="U86" s="16" t="s">
        <v>889</v>
      </c>
      <c r="V86" s="364">
        <v>104</v>
      </c>
      <c r="W86" s="99" t="s">
        <v>899</v>
      </c>
      <c r="X86" s="14">
        <f t="shared" ref="X86:X89" si="130">O53</f>
        <v>8.85</v>
      </c>
      <c r="Y86" s="283">
        <f t="shared" si="108"/>
        <v>8</v>
      </c>
      <c r="Z86" s="14">
        <f t="shared" ref="Z86:Z89" si="131">P53</f>
        <v>7.6</v>
      </c>
      <c r="AA86" s="283">
        <f t="shared" si="108"/>
        <v>8</v>
      </c>
      <c r="AB86" s="69">
        <f>Table351550[[#This Row],[Floor4]]+Table351550[[#This Row],[Vault6]]</f>
        <v>16.45</v>
      </c>
      <c r="AC86" s="283">
        <f t="shared" ref="AC86" si="132">SUMPRODUCT((AB$7:AB$117&gt;AB86)/COUNTIF(AB$7:AB$117,AB$7:AB$117&amp;""))+1</f>
        <v>9</v>
      </c>
    </row>
    <row r="87" spans="1:29">
      <c r="A87" s="165"/>
      <c r="B87" s="107"/>
      <c r="C87" s="73"/>
      <c r="D87" s="73"/>
      <c r="E87" s="73"/>
      <c r="F87" s="1"/>
      <c r="G87" s="152"/>
      <c r="H87" s="110"/>
      <c r="I87" s="68"/>
      <c r="J87" s="68"/>
      <c r="K87" s="73"/>
      <c r="N87" s="7" t="s">
        <v>1262</v>
      </c>
      <c r="O87" s="46">
        <f>E69</f>
        <v>62.3</v>
      </c>
      <c r="P87" s="40">
        <f t="shared" si="113"/>
        <v>7</v>
      </c>
      <c r="U87" s="16" t="s">
        <v>889</v>
      </c>
      <c r="V87" s="364">
        <v>105</v>
      </c>
      <c r="W87" s="93" t="s">
        <v>896</v>
      </c>
      <c r="X87" s="14">
        <f>O54</f>
        <v>8.65</v>
      </c>
      <c r="Y87" s="283">
        <f t="shared" si="108"/>
        <v>11.999999999999996</v>
      </c>
      <c r="Z87" s="14">
        <f>P54</f>
        <v>6.2</v>
      </c>
      <c r="AA87" s="283">
        <f t="shared" si="108"/>
        <v>21.999999999999989</v>
      </c>
      <c r="AB87" s="69">
        <f>Table351550[[#This Row],[Floor4]]+Table351550[[#This Row],[Vault6]]</f>
        <v>14.850000000000001</v>
      </c>
      <c r="AC87" s="283">
        <f t="shared" ref="AC87" si="133">SUMPRODUCT((AB$7:AB$117&gt;AB87)/COUNTIF(AB$7:AB$117,AB$7:AB$117&amp;""))+1</f>
        <v>34.999999999999993</v>
      </c>
    </row>
    <row r="88" spans="1:29">
      <c r="A88" s="165"/>
      <c r="B88" s="107"/>
      <c r="C88" s="73"/>
      <c r="D88" s="73"/>
      <c r="E88" s="73"/>
      <c r="F88" s="1"/>
      <c r="G88" s="152"/>
      <c r="H88" s="110"/>
      <c r="I88" s="68"/>
      <c r="J88" s="68"/>
      <c r="K88" s="73"/>
      <c r="N88" s="7" t="s">
        <v>397</v>
      </c>
      <c r="O88" s="46">
        <f>K69</f>
        <v>63.5</v>
      </c>
      <c r="P88" s="40">
        <f t="shared" si="113"/>
        <v>6</v>
      </c>
      <c r="U88" s="406" t="s">
        <v>889</v>
      </c>
      <c r="V88" s="408">
        <v>106</v>
      </c>
      <c r="W88" s="397" t="s">
        <v>897</v>
      </c>
      <c r="X88" s="401">
        <f t="shared" si="130"/>
        <v>0</v>
      </c>
      <c r="Y88" s="402">
        <f t="shared" si="108"/>
        <v>41.000000000000021</v>
      </c>
      <c r="Z88" s="401">
        <f t="shared" si="131"/>
        <v>0</v>
      </c>
      <c r="AA88" s="402">
        <f t="shared" si="108"/>
        <v>28.999999999999982</v>
      </c>
      <c r="AB88" s="403">
        <f>Table351550[[#This Row],[Floor4]]+Table351550[[#This Row],[Vault6]]</f>
        <v>0</v>
      </c>
      <c r="AC88" s="402">
        <f t="shared" ref="AC88" si="134">SUMPRODUCT((AB$7:AB$117&gt;AB88)/COUNTIF(AB$7:AB$117,AB$7:AB$117&amp;""))+1</f>
        <v>63.000000000000007</v>
      </c>
    </row>
    <row r="89" spans="1:29">
      <c r="A89" s="165"/>
      <c r="B89" s="107"/>
      <c r="C89" s="73"/>
      <c r="D89" s="73"/>
      <c r="E89" s="73"/>
      <c r="F89" s="106"/>
      <c r="G89" s="152"/>
      <c r="H89" s="110"/>
      <c r="I89" s="68"/>
      <c r="J89" s="68"/>
      <c r="K89" s="73"/>
      <c r="N89" s="7" t="s">
        <v>559</v>
      </c>
      <c r="O89" s="46">
        <f>Q69</f>
        <v>49.8</v>
      </c>
      <c r="P89" s="40">
        <f t="shared" si="113"/>
        <v>16</v>
      </c>
      <c r="U89" s="16" t="s">
        <v>889</v>
      </c>
      <c r="V89" s="364">
        <v>107</v>
      </c>
      <c r="W89" s="93" t="s">
        <v>898</v>
      </c>
      <c r="X89" s="14">
        <f t="shared" si="130"/>
        <v>7.95</v>
      </c>
      <c r="Y89" s="283">
        <f t="shared" si="108"/>
        <v>24.999999999999996</v>
      </c>
      <c r="Z89" s="14">
        <f t="shared" si="131"/>
        <v>6.2</v>
      </c>
      <c r="AA89" s="283">
        <f t="shared" si="108"/>
        <v>21.999999999999989</v>
      </c>
      <c r="AB89" s="69">
        <f>Table351550[[#This Row],[Floor4]]+Table351550[[#This Row],[Vault6]]</f>
        <v>14.15</v>
      </c>
      <c r="AC89" s="283">
        <f t="shared" ref="AC89" si="135">SUMPRODUCT((AB$7:AB$117&gt;AB89)/COUNTIF(AB$7:AB$117,AB$7:AB$117&amp;""))+1</f>
        <v>44</v>
      </c>
    </row>
    <row r="90" spans="1:29">
      <c r="F90" s="106"/>
      <c r="N90" s="7" t="s">
        <v>1268</v>
      </c>
      <c r="O90" s="46">
        <f>E58</f>
        <v>60.65</v>
      </c>
      <c r="P90" s="40">
        <f t="shared" si="113"/>
        <v>10</v>
      </c>
      <c r="U90" s="16" t="s">
        <v>917</v>
      </c>
      <c r="V90" s="150">
        <v>132</v>
      </c>
      <c r="W90" s="93" t="s">
        <v>926</v>
      </c>
      <c r="X90" s="14">
        <f>I78</f>
        <v>7.6</v>
      </c>
      <c r="Y90" s="283">
        <f t="shared" si="108"/>
        <v>29.999999999999986</v>
      </c>
      <c r="Z90" s="14">
        <f>J78</f>
        <v>7</v>
      </c>
      <c r="AA90" s="283">
        <f t="shared" si="108"/>
        <v>13.999999999999991</v>
      </c>
      <c r="AB90" s="69">
        <f>Table351550[[#This Row],[Floor4]]+Table351550[[#This Row],[Vault6]]</f>
        <v>14.6</v>
      </c>
      <c r="AC90" s="283">
        <f t="shared" ref="AC90" si="136">SUMPRODUCT((AB$7:AB$117&gt;AB90)/COUNTIF(AB$7:AB$117,AB$7:AB$117&amp;""))+1</f>
        <v>39</v>
      </c>
    </row>
    <row r="91" spans="1:29">
      <c r="U91" s="16" t="s">
        <v>917</v>
      </c>
      <c r="V91" s="150">
        <v>133</v>
      </c>
      <c r="W91" s="100" t="s">
        <v>927</v>
      </c>
      <c r="X91" s="14">
        <f>I79</f>
        <v>8.0500000000000007</v>
      </c>
      <c r="Y91" s="283">
        <f t="shared" si="108"/>
        <v>22.999999999999996</v>
      </c>
      <c r="Z91" s="14">
        <f>J79</f>
        <v>7.9</v>
      </c>
      <c r="AA91" s="283">
        <f t="shared" si="108"/>
        <v>5</v>
      </c>
      <c r="AB91" s="69">
        <f>Table351550[[#This Row],[Floor4]]+Table351550[[#This Row],[Vault6]]</f>
        <v>15.950000000000001</v>
      </c>
      <c r="AC91" s="283">
        <f t="shared" ref="AC91" si="137">SUMPRODUCT((AB$7:AB$117&gt;AB91)/COUNTIF(AB$7:AB$117,AB$7:AB$117&amp;""))+1</f>
        <v>18</v>
      </c>
    </row>
    <row r="92" spans="1:29">
      <c r="U92" s="16" t="s">
        <v>917</v>
      </c>
      <c r="V92" s="150">
        <v>134</v>
      </c>
      <c r="W92" s="100" t="s">
        <v>928</v>
      </c>
      <c r="X92" s="14">
        <f t="shared" ref="X92" si="138">I80</f>
        <v>8.5500000000000007</v>
      </c>
      <c r="Y92" s="283">
        <f t="shared" si="108"/>
        <v>13.999999999999996</v>
      </c>
      <c r="Z92" s="14">
        <f t="shared" ref="Z92" si="139">J80</f>
        <v>7.9</v>
      </c>
      <c r="AA92" s="283">
        <f t="shared" si="108"/>
        <v>5</v>
      </c>
      <c r="AB92" s="69">
        <f>Table351550[[#This Row],[Floor4]]+Table351550[[#This Row],[Vault6]]</f>
        <v>16.450000000000003</v>
      </c>
      <c r="AC92" s="283">
        <f t="shared" ref="AC92" si="140">SUMPRODUCT((AB$7:AB$117&gt;AB92)/COUNTIF(AB$7:AB$117,AB$7:AB$117&amp;""))+1</f>
        <v>9</v>
      </c>
    </row>
    <row r="93" spans="1:29">
      <c r="U93" s="16" t="s">
        <v>223</v>
      </c>
      <c r="V93" s="364">
        <v>109</v>
      </c>
      <c r="W93" s="99" t="s">
        <v>947</v>
      </c>
      <c r="X93" s="14">
        <f>C63</f>
        <v>9.15</v>
      </c>
      <c r="Y93" s="283">
        <f t="shared" si="108"/>
        <v>3</v>
      </c>
      <c r="Z93" s="14">
        <f>D63</f>
        <v>6.7</v>
      </c>
      <c r="AA93" s="283">
        <f t="shared" si="108"/>
        <v>16.999999999999993</v>
      </c>
      <c r="AB93" s="69">
        <f>Table351550[[#This Row],[Floor4]]+Table351550[[#This Row],[Vault6]]</f>
        <v>15.850000000000001</v>
      </c>
      <c r="AC93" s="283">
        <f t="shared" ref="AC93" si="141">SUMPRODUCT((AB$7:AB$117&gt;AB93)/COUNTIF(AB$7:AB$117,AB$7:AB$117&amp;""))+1</f>
        <v>19</v>
      </c>
    </row>
    <row r="94" spans="1:29">
      <c r="U94" s="16" t="s">
        <v>223</v>
      </c>
      <c r="V94" s="364">
        <v>110</v>
      </c>
      <c r="W94" s="99" t="s">
        <v>948</v>
      </c>
      <c r="X94" s="14">
        <f t="shared" ref="X94:X98" si="142">C64</f>
        <v>8.35</v>
      </c>
      <c r="Y94" s="283">
        <f t="shared" si="108"/>
        <v>17.999999999999996</v>
      </c>
      <c r="Z94" s="14">
        <f t="shared" ref="Z94:Z98" si="143">D64</f>
        <v>6.6</v>
      </c>
      <c r="AA94" s="283">
        <f t="shared" si="108"/>
        <v>17.999999999999993</v>
      </c>
      <c r="AB94" s="69">
        <f>Table351550[[#This Row],[Floor4]]+Table351550[[#This Row],[Vault6]]</f>
        <v>14.95</v>
      </c>
      <c r="AC94" s="283">
        <f t="shared" ref="AC94" si="144">SUMPRODUCT((AB$7:AB$117&gt;AB94)/COUNTIF(AB$7:AB$117,AB$7:AB$117&amp;""))+1</f>
        <v>33</v>
      </c>
    </row>
    <row r="95" spans="1:29">
      <c r="U95" s="16" t="s">
        <v>223</v>
      </c>
      <c r="V95" s="364">
        <v>111</v>
      </c>
      <c r="W95" s="93" t="s">
        <v>949</v>
      </c>
      <c r="X95" s="14">
        <f>C65</f>
        <v>8.5500000000000007</v>
      </c>
      <c r="Y95" s="283">
        <f t="shared" si="108"/>
        <v>13.999999999999996</v>
      </c>
      <c r="Z95" s="14">
        <f>D65</f>
        <v>6.7</v>
      </c>
      <c r="AA95" s="283">
        <f t="shared" si="108"/>
        <v>16.999999999999993</v>
      </c>
      <c r="AB95" s="69">
        <f>Table351550[[#This Row],[Floor4]]+Table351550[[#This Row],[Vault6]]</f>
        <v>15.25</v>
      </c>
      <c r="AC95" s="283">
        <f t="shared" ref="AC95" si="145">SUMPRODUCT((AB$7:AB$117&gt;AB95)/COUNTIF(AB$7:AB$117,AB$7:AB$117&amp;""))+1</f>
        <v>27.999999999999996</v>
      </c>
    </row>
    <row r="96" spans="1:29">
      <c r="U96" s="16" t="s">
        <v>223</v>
      </c>
      <c r="V96" s="364">
        <v>112</v>
      </c>
      <c r="W96" s="93" t="s">
        <v>950</v>
      </c>
      <c r="X96" s="14">
        <f t="shared" si="142"/>
        <v>8.3000000000000007</v>
      </c>
      <c r="Y96" s="283">
        <f t="shared" si="108"/>
        <v>18.999999999999993</v>
      </c>
      <c r="Z96" s="14">
        <f t="shared" si="143"/>
        <v>6.4</v>
      </c>
      <c r="AA96" s="283">
        <f t="shared" si="108"/>
        <v>19.999999999999989</v>
      </c>
      <c r="AB96" s="69">
        <f>Table351550[[#This Row],[Floor4]]+Table351550[[#This Row],[Vault6]]</f>
        <v>14.700000000000001</v>
      </c>
      <c r="AC96" s="283">
        <f t="shared" ref="AC96" si="146">SUMPRODUCT((AB$7:AB$117&gt;AB96)/COUNTIF(AB$7:AB$117,AB$7:AB$117&amp;""))+1</f>
        <v>37</v>
      </c>
    </row>
    <row r="97" spans="21:29">
      <c r="U97" s="16" t="s">
        <v>223</v>
      </c>
      <c r="V97" s="364">
        <v>113</v>
      </c>
      <c r="W97" s="93" t="s">
        <v>951</v>
      </c>
      <c r="X97" s="14">
        <f>C67</f>
        <v>8.15</v>
      </c>
      <c r="Y97" s="283">
        <f t="shared" si="108"/>
        <v>20.999999999999996</v>
      </c>
      <c r="Z97" s="14">
        <f>D67</f>
        <v>7.7</v>
      </c>
      <c r="AA97" s="283">
        <f t="shared" si="108"/>
        <v>7</v>
      </c>
      <c r="AB97" s="69">
        <f>Table351550[[#This Row],[Floor4]]+Table351550[[#This Row],[Vault6]]</f>
        <v>15.850000000000001</v>
      </c>
      <c r="AC97" s="283">
        <f t="shared" ref="AC97" si="147">SUMPRODUCT((AB$7:AB$117&gt;AB97)/COUNTIF(AB$7:AB$117,AB$7:AB$117&amp;""))+1</f>
        <v>19</v>
      </c>
    </row>
    <row r="98" spans="21:29">
      <c r="U98" s="16" t="s">
        <v>223</v>
      </c>
      <c r="V98" s="364">
        <v>114</v>
      </c>
      <c r="W98" s="93" t="s">
        <v>952</v>
      </c>
      <c r="X98" s="14">
        <f t="shared" si="142"/>
        <v>8.5500000000000007</v>
      </c>
      <c r="Y98" s="283">
        <f t="shared" si="108"/>
        <v>13.999999999999996</v>
      </c>
      <c r="Z98" s="14">
        <f t="shared" si="143"/>
        <v>6.3</v>
      </c>
      <c r="AA98" s="283">
        <f t="shared" si="108"/>
        <v>20.999999999999993</v>
      </c>
      <c r="AB98" s="69">
        <f>Table351550[[#This Row],[Floor4]]+Table351550[[#This Row],[Vault6]]</f>
        <v>14.850000000000001</v>
      </c>
      <c r="AC98" s="283">
        <f t="shared" ref="AC98" si="148">SUMPRODUCT((AB$7:AB$117&gt;AB98)/COUNTIF(AB$7:AB$117,AB$7:AB$117&amp;""))+1</f>
        <v>34.999999999999993</v>
      </c>
    </row>
    <row r="99" spans="21:29">
      <c r="U99" s="16" t="s">
        <v>391</v>
      </c>
      <c r="V99" s="364">
        <v>115</v>
      </c>
      <c r="W99" s="99" t="s">
        <v>1014</v>
      </c>
      <c r="X99" s="14">
        <f>I63</f>
        <v>7.7</v>
      </c>
      <c r="Y99" s="283">
        <f t="shared" si="108"/>
        <v>27.999999999999989</v>
      </c>
      <c r="Z99" s="14">
        <f>J63</f>
        <v>8.4</v>
      </c>
      <c r="AA99" s="283">
        <f t="shared" si="108"/>
        <v>1</v>
      </c>
      <c r="AB99" s="69">
        <f>Table351550[[#This Row],[Floor4]]+Table351550[[#This Row],[Vault6]]</f>
        <v>16.100000000000001</v>
      </c>
      <c r="AC99" s="283">
        <f t="shared" ref="AC99" si="149">SUMPRODUCT((AB$7:AB$117&gt;AB99)/COUNTIF(AB$7:AB$117,AB$7:AB$117&amp;""))+1</f>
        <v>15</v>
      </c>
    </row>
    <row r="100" spans="21:29">
      <c r="U100" s="16" t="s">
        <v>391</v>
      </c>
      <c r="V100" s="364">
        <v>116</v>
      </c>
      <c r="W100" s="99" t="s">
        <v>1015</v>
      </c>
      <c r="X100" s="14">
        <f t="shared" ref="X100:X104" si="150">I64</f>
        <v>8.85</v>
      </c>
      <c r="Y100" s="283">
        <f t="shared" si="108"/>
        <v>8</v>
      </c>
      <c r="Z100" s="14">
        <f t="shared" ref="Z100:Z104" si="151">J64</f>
        <v>6.4</v>
      </c>
      <c r="AA100" s="283">
        <f t="shared" si="108"/>
        <v>19.999999999999989</v>
      </c>
      <c r="AB100" s="69">
        <f>Table351550[[#This Row],[Floor4]]+Table351550[[#This Row],[Vault6]]</f>
        <v>15.25</v>
      </c>
      <c r="AC100" s="283">
        <f t="shared" ref="AC100" si="152">SUMPRODUCT((AB$7:AB$117&gt;AB100)/COUNTIF(AB$7:AB$117,AB$7:AB$117&amp;""))+1</f>
        <v>27.999999999999996</v>
      </c>
    </row>
    <row r="101" spans="21:29">
      <c r="U101" s="16" t="s">
        <v>391</v>
      </c>
      <c r="V101" s="364">
        <v>117</v>
      </c>
      <c r="W101" s="93" t="s">
        <v>1016</v>
      </c>
      <c r="X101" s="14">
        <f>I65</f>
        <v>8.4499999999999993</v>
      </c>
      <c r="Y101" s="283">
        <f t="shared" si="108"/>
        <v>15.999999999999998</v>
      </c>
      <c r="Z101" s="14">
        <f t="shared" si="151"/>
        <v>7.6</v>
      </c>
      <c r="AA101" s="283">
        <f t="shared" si="108"/>
        <v>8</v>
      </c>
      <c r="AB101" s="69">
        <f>Table351550[[#This Row],[Floor4]]+Table351550[[#This Row],[Vault6]]</f>
        <v>16.049999999999997</v>
      </c>
      <c r="AC101" s="283">
        <f t="shared" ref="AC101" si="153">SUMPRODUCT((AB$7:AB$117&gt;AB101)/COUNTIF(AB$7:AB$117,AB$7:AB$117&amp;""))+1</f>
        <v>16</v>
      </c>
    </row>
    <row r="102" spans="21:29">
      <c r="U102" s="16" t="s">
        <v>391</v>
      </c>
      <c r="V102" s="364">
        <v>118</v>
      </c>
      <c r="W102" s="93" t="s">
        <v>1017</v>
      </c>
      <c r="X102" s="14">
        <f t="shared" si="150"/>
        <v>8.6</v>
      </c>
      <c r="Y102" s="283">
        <f t="shared" si="108"/>
        <v>12.999999999999998</v>
      </c>
      <c r="Z102" s="14">
        <f>J66</f>
        <v>6.6</v>
      </c>
      <c r="AA102" s="283">
        <f t="shared" si="108"/>
        <v>17.999999999999993</v>
      </c>
      <c r="AB102" s="69">
        <f>Table351550[[#This Row],[Floor4]]+Table351550[[#This Row],[Vault6]]</f>
        <v>15.2</v>
      </c>
      <c r="AC102" s="283">
        <f t="shared" ref="AC102" si="154">SUMPRODUCT((AB$7:AB$117&gt;AB102)/COUNTIF(AB$7:AB$117,AB$7:AB$117&amp;""))+1</f>
        <v>28.999999999999996</v>
      </c>
    </row>
    <row r="103" spans="21:29">
      <c r="U103" s="16" t="s">
        <v>391</v>
      </c>
      <c r="V103" s="364">
        <v>119</v>
      </c>
      <c r="W103" s="93" t="s">
        <v>390</v>
      </c>
      <c r="X103" s="14">
        <f t="shared" si="150"/>
        <v>8.1</v>
      </c>
      <c r="Y103" s="283">
        <f t="shared" ref="Y103:AA117" si="155">SUMPRODUCT((X$7:X$117&gt;X103)/COUNTIF(X$7:X$117,X$7:X$117&amp;""))+1</f>
        <v>21.999999999999996</v>
      </c>
      <c r="Z103" s="14">
        <f t="shared" si="151"/>
        <v>6.9</v>
      </c>
      <c r="AA103" s="283">
        <f t="shared" si="155"/>
        <v>14.999999999999991</v>
      </c>
      <c r="AB103" s="69">
        <f>Table351550[[#This Row],[Floor4]]+Table351550[[#This Row],[Vault6]]</f>
        <v>15</v>
      </c>
      <c r="AC103" s="283">
        <f t="shared" ref="AC103" si="156">SUMPRODUCT((AB$7:AB$117&gt;AB103)/COUNTIF(AB$7:AB$117,AB$7:AB$117&amp;""))+1</f>
        <v>31.999999999999996</v>
      </c>
    </row>
    <row r="104" spans="21:29">
      <c r="U104" s="16" t="s">
        <v>391</v>
      </c>
      <c r="V104" s="364">
        <v>120</v>
      </c>
      <c r="W104" s="93" t="s">
        <v>1018</v>
      </c>
      <c r="X104" s="14">
        <f t="shared" si="150"/>
        <v>7.75</v>
      </c>
      <c r="Y104" s="283">
        <f t="shared" si="155"/>
        <v>26.999999999999993</v>
      </c>
      <c r="Z104" s="14">
        <f t="shared" si="151"/>
        <v>0</v>
      </c>
      <c r="AA104" s="283">
        <f t="shared" si="155"/>
        <v>28.999999999999982</v>
      </c>
      <c r="AB104" s="69">
        <f>Table351550[[#This Row],[Floor4]]+Table351550[[#This Row],[Vault6]]</f>
        <v>7.75</v>
      </c>
      <c r="AC104" s="283">
        <f t="shared" ref="AC104" si="157">SUMPRODUCT((AB$7:AB$117&gt;AB104)/COUNTIF(AB$7:AB$117,AB$7:AB$117&amp;""))+1</f>
        <v>62.000000000000007</v>
      </c>
    </row>
    <row r="105" spans="21:29">
      <c r="U105" s="16" t="s">
        <v>454</v>
      </c>
      <c r="V105" s="364">
        <v>121</v>
      </c>
      <c r="W105" s="99" t="s">
        <v>1095</v>
      </c>
      <c r="X105" s="14">
        <f>O63</f>
        <v>5</v>
      </c>
      <c r="Y105" s="283">
        <f t="shared" si="155"/>
        <v>40.000000000000007</v>
      </c>
      <c r="Z105" s="14">
        <f>P63</f>
        <v>7.5</v>
      </c>
      <c r="AA105" s="283">
        <f t="shared" si="155"/>
        <v>9.0000000000000018</v>
      </c>
      <c r="AB105" s="69">
        <f>Table351550[[#This Row],[Floor4]]+Table351550[[#This Row],[Vault6]]</f>
        <v>12.5</v>
      </c>
      <c r="AC105" s="283">
        <f t="shared" ref="AC105" si="158">SUMPRODUCT((AB$7:AB$117&gt;AB105)/COUNTIF(AB$7:AB$117,AB$7:AB$117&amp;""))+1</f>
        <v>58.000000000000007</v>
      </c>
    </row>
    <row r="106" spans="21:29">
      <c r="U106" s="16" t="s">
        <v>454</v>
      </c>
      <c r="V106" s="364">
        <v>122</v>
      </c>
      <c r="W106" s="99" t="s">
        <v>459</v>
      </c>
      <c r="X106" s="14">
        <f t="shared" ref="X106:X110" si="159">O64</f>
        <v>5</v>
      </c>
      <c r="Y106" s="283">
        <f t="shared" si="155"/>
        <v>40.000000000000007</v>
      </c>
      <c r="Z106" s="14">
        <f t="shared" ref="Z106:Z110" si="160">P64</f>
        <v>7.3</v>
      </c>
      <c r="AA106" s="283">
        <f t="shared" si="155"/>
        <v>10.999999999999996</v>
      </c>
      <c r="AB106" s="69">
        <f>Table351550[[#This Row],[Floor4]]+Table351550[[#This Row],[Vault6]]</f>
        <v>12.3</v>
      </c>
      <c r="AC106" s="283">
        <f t="shared" ref="AC106" si="161">SUMPRODUCT((AB$7:AB$117&gt;AB106)/COUNTIF(AB$7:AB$117,AB$7:AB$117&amp;""))+1</f>
        <v>59.000000000000007</v>
      </c>
    </row>
    <row r="107" spans="21:29">
      <c r="U107" s="16" t="s">
        <v>454</v>
      </c>
      <c r="V107" s="364">
        <v>123</v>
      </c>
      <c r="W107" s="93" t="s">
        <v>1096</v>
      </c>
      <c r="X107" s="14">
        <f>O65</f>
        <v>5</v>
      </c>
      <c r="Y107" s="283">
        <f t="shared" si="155"/>
        <v>40.000000000000007</v>
      </c>
      <c r="Z107" s="14">
        <f t="shared" si="160"/>
        <v>6.6</v>
      </c>
      <c r="AA107" s="283">
        <f t="shared" si="155"/>
        <v>17.999999999999993</v>
      </c>
      <c r="AB107" s="69">
        <f>Table351550[[#This Row],[Floor4]]+Table351550[[#This Row],[Vault6]]</f>
        <v>11.6</v>
      </c>
      <c r="AC107" s="283">
        <f t="shared" ref="AC107" si="162">SUMPRODUCT((AB$7:AB$117&gt;AB107)/COUNTIF(AB$7:AB$117,AB$7:AB$117&amp;""))+1</f>
        <v>60.000000000000007</v>
      </c>
    </row>
    <row r="108" spans="21:29">
      <c r="U108" s="406" t="s">
        <v>454</v>
      </c>
      <c r="V108" s="408">
        <v>124</v>
      </c>
      <c r="W108" s="436" t="s">
        <v>1097</v>
      </c>
      <c r="X108" s="401">
        <f t="shared" si="159"/>
        <v>0</v>
      </c>
      <c r="Y108" s="402">
        <f t="shared" si="155"/>
        <v>41.000000000000021</v>
      </c>
      <c r="Z108" s="401">
        <f>P66</f>
        <v>0</v>
      </c>
      <c r="AA108" s="402">
        <f t="shared" si="155"/>
        <v>28.999999999999982</v>
      </c>
      <c r="AB108" s="403">
        <f>Table351550[[#This Row],[Floor4]]+Table351550[[#This Row],[Vault6]]</f>
        <v>0</v>
      </c>
      <c r="AC108" s="402">
        <f t="shared" ref="AC108" si="163">SUMPRODUCT((AB$7:AB$117&gt;AB108)/COUNTIF(AB$7:AB$117,AB$7:AB$117&amp;""))+1</f>
        <v>63.000000000000007</v>
      </c>
    </row>
    <row r="109" spans="21:29">
      <c r="U109" s="16" t="s">
        <v>454</v>
      </c>
      <c r="V109" s="364">
        <v>125</v>
      </c>
      <c r="W109" s="93" t="s">
        <v>1098</v>
      </c>
      <c r="X109" s="14">
        <f>O67</f>
        <v>5</v>
      </c>
      <c r="Y109" s="283">
        <f t="shared" si="155"/>
        <v>40.000000000000007</v>
      </c>
      <c r="Z109" s="14">
        <f t="shared" si="160"/>
        <v>7.3</v>
      </c>
      <c r="AA109" s="283">
        <f t="shared" si="155"/>
        <v>10.999999999999996</v>
      </c>
      <c r="AB109" s="69">
        <f>Table351550[[#This Row],[Floor4]]+Table351550[[#This Row],[Vault6]]</f>
        <v>12.3</v>
      </c>
      <c r="AC109" s="283">
        <f t="shared" ref="AC109" si="164">SUMPRODUCT((AB$7:AB$117&gt;AB109)/COUNTIF(AB$7:AB$117,AB$7:AB$117&amp;""))+1</f>
        <v>59.000000000000007</v>
      </c>
    </row>
    <row r="110" spans="21:29">
      <c r="U110" s="120" t="s">
        <v>454</v>
      </c>
      <c r="V110" s="364">
        <v>126</v>
      </c>
      <c r="W110" s="100" t="s">
        <v>1346</v>
      </c>
      <c r="X110" s="14">
        <f t="shared" si="159"/>
        <v>5</v>
      </c>
      <c r="Y110" s="283">
        <f t="shared" si="155"/>
        <v>40.000000000000007</v>
      </c>
      <c r="Z110" s="14">
        <f t="shared" si="160"/>
        <v>7.7</v>
      </c>
      <c r="AA110" s="283">
        <f t="shared" si="155"/>
        <v>7</v>
      </c>
      <c r="AB110" s="69">
        <f>Table351550[[#This Row],[Floor4]]+Table351550[[#This Row],[Vault6]]</f>
        <v>12.7</v>
      </c>
      <c r="AC110" s="283">
        <f t="shared" ref="AC110" si="165">SUMPRODUCT((AB$7:AB$117&gt;AB110)/COUNTIF(AB$7:AB$117,AB$7:AB$117&amp;""))+1</f>
        <v>56.000000000000014</v>
      </c>
    </row>
    <row r="111" spans="21:29">
      <c r="U111" s="307" t="s">
        <v>135</v>
      </c>
      <c r="V111" s="318">
        <v>138</v>
      </c>
      <c r="W111" s="308" t="s">
        <v>671</v>
      </c>
      <c r="X111" s="295">
        <f>'BEG 9&amp;U MX'!D11</f>
        <v>8.9499999999999993</v>
      </c>
      <c r="Y111" s="283">
        <f t="shared" si="155"/>
        <v>7</v>
      </c>
      <c r="Z111" s="295">
        <f>'BEG 9&amp;U MX'!E11</f>
        <v>7.3</v>
      </c>
      <c r="AA111" s="283">
        <f t="shared" si="155"/>
        <v>10.999999999999996</v>
      </c>
      <c r="AB111" s="299">
        <f>Table351550[[#This Row],[Floor4]]+Table351550[[#This Row],[Vault6]]</f>
        <v>16.25</v>
      </c>
      <c r="AC111" s="283">
        <f t="shared" ref="AC111" si="166">SUMPRODUCT((AB$7:AB$117&gt;AB111)/COUNTIF(AB$7:AB$117,AB$7:AB$117&amp;""))+1</f>
        <v>12</v>
      </c>
    </row>
    <row r="112" spans="21:29">
      <c r="U112" s="307" t="s">
        <v>135</v>
      </c>
      <c r="V112" s="318">
        <v>139</v>
      </c>
      <c r="W112" s="308" t="s">
        <v>672</v>
      </c>
      <c r="X112" s="295">
        <f>'BEG 9&amp;U MX'!D12</f>
        <v>7.75</v>
      </c>
      <c r="Y112" s="283">
        <f t="shared" si="155"/>
        <v>26.999999999999993</v>
      </c>
      <c r="Z112" s="295">
        <f>'BEG 9&amp;U MX'!E12</f>
        <v>6.3</v>
      </c>
      <c r="AA112" s="283">
        <f t="shared" si="155"/>
        <v>20.999999999999993</v>
      </c>
      <c r="AB112" s="299">
        <f>Table351550[[#This Row],[Floor4]]+Table351550[[#This Row],[Vault6]]</f>
        <v>14.05</v>
      </c>
      <c r="AC112" s="283">
        <f t="shared" ref="AC112" si="167">SUMPRODUCT((AB$7:AB$117&gt;AB112)/COUNTIF(AB$7:AB$117,AB$7:AB$117&amp;""))+1</f>
        <v>45</v>
      </c>
    </row>
    <row r="113" spans="21:29">
      <c r="U113" s="307" t="s">
        <v>135</v>
      </c>
      <c r="V113" s="319">
        <v>140</v>
      </c>
      <c r="W113" s="311" t="s">
        <v>673</v>
      </c>
      <c r="X113" s="295">
        <f>'BEG 9&amp;U MX'!D13</f>
        <v>8.65</v>
      </c>
      <c r="Y113" s="283">
        <f t="shared" si="155"/>
        <v>11.999999999999996</v>
      </c>
      <c r="Z113" s="295">
        <f>'BEG 9&amp;U MX'!E13</f>
        <v>6.1</v>
      </c>
      <c r="AA113" s="283">
        <f t="shared" si="155"/>
        <v>22.999999999999986</v>
      </c>
      <c r="AB113" s="300">
        <f>Table351550[[#This Row],[Floor4]]+Table351550[[#This Row],[Vault6]]</f>
        <v>14.75</v>
      </c>
      <c r="AC113" s="283">
        <f t="shared" ref="AC113" si="168">SUMPRODUCT((AB$7:AB$117&gt;AB113)/COUNTIF(AB$7:AB$117,AB$7:AB$117&amp;""))+1</f>
        <v>36</v>
      </c>
    </row>
    <row r="114" spans="21:29">
      <c r="U114" s="307" t="s">
        <v>889</v>
      </c>
      <c r="V114" s="318">
        <v>144</v>
      </c>
      <c r="W114" s="308" t="s">
        <v>903</v>
      </c>
      <c r="X114" s="295">
        <f>'BEG 9&amp;U MX'!O11</f>
        <v>8.5500000000000007</v>
      </c>
      <c r="Y114" s="283">
        <f t="shared" si="155"/>
        <v>13.999999999999996</v>
      </c>
      <c r="Z114" s="295">
        <f>'BEG 9&amp;U MX'!P11</f>
        <v>7.2</v>
      </c>
      <c r="AA114" s="283">
        <f t="shared" si="155"/>
        <v>11.999999999999996</v>
      </c>
      <c r="AB114" s="299">
        <f>Table351550[[#This Row],[Floor4]]+Table351550[[#This Row],[Vault6]]</f>
        <v>15.75</v>
      </c>
      <c r="AC114" s="283">
        <f t="shared" ref="AC114" si="169">SUMPRODUCT((AB$7:AB$117&gt;AB114)/COUNTIF(AB$7:AB$117,AB$7:AB$117&amp;""))+1</f>
        <v>21</v>
      </c>
    </row>
    <row r="115" spans="21:29">
      <c r="U115" s="307" t="s">
        <v>889</v>
      </c>
      <c r="V115" s="318">
        <v>145</v>
      </c>
      <c r="W115" s="308" t="s">
        <v>904</v>
      </c>
      <c r="X115" s="295">
        <f>'BEG 9&amp;U MX'!O12</f>
        <v>8.5</v>
      </c>
      <c r="Y115" s="283">
        <f t="shared" si="155"/>
        <v>14.999999999999996</v>
      </c>
      <c r="Z115" s="295">
        <f>'BEG 9&amp;U MX'!P12</f>
        <v>7.5</v>
      </c>
      <c r="AA115" s="283">
        <f t="shared" si="155"/>
        <v>9.0000000000000018</v>
      </c>
      <c r="AB115" s="299">
        <f>Table351550[[#This Row],[Floor4]]+Table351550[[#This Row],[Vault6]]</f>
        <v>16</v>
      </c>
      <c r="AC115" s="283">
        <f t="shared" ref="AC115" si="170">SUMPRODUCT((AB$7:AB$117&gt;AB115)/COUNTIF(AB$7:AB$117,AB$7:AB$117&amp;""))+1</f>
        <v>17</v>
      </c>
    </row>
    <row r="116" spans="21:29">
      <c r="U116" s="307" t="s">
        <v>889</v>
      </c>
      <c r="V116" s="319">
        <v>146</v>
      </c>
      <c r="W116" s="311" t="s">
        <v>905</v>
      </c>
      <c r="X116" s="295">
        <f>'BEG 9&amp;U MX'!O13</f>
        <v>8.4</v>
      </c>
      <c r="Y116" s="283">
        <f t="shared" si="155"/>
        <v>17</v>
      </c>
      <c r="Z116" s="295">
        <f>'BEG 9&amp;U MX'!P13</f>
        <v>0</v>
      </c>
      <c r="AA116" s="283">
        <f t="shared" si="155"/>
        <v>28.999999999999982</v>
      </c>
      <c r="AB116" s="300">
        <f>Table351550[[#This Row],[Floor4]]+Table351550[[#This Row],[Vault6]]</f>
        <v>8.4</v>
      </c>
      <c r="AC116" s="283">
        <f t="shared" ref="AC116" si="171">SUMPRODUCT((AB$7:AB$117&gt;AB116)/COUNTIF(AB$7:AB$117,AB$7:AB$117&amp;""))+1</f>
        <v>61.000000000000007</v>
      </c>
    </row>
    <row r="117" spans="21:29">
      <c r="U117" s="307" t="s">
        <v>889</v>
      </c>
      <c r="V117" s="319">
        <v>143</v>
      </c>
      <c r="W117" s="311" t="s">
        <v>902</v>
      </c>
      <c r="X117" s="295">
        <f>'BEG 9&amp;U MX'!O10</f>
        <v>8.0500000000000007</v>
      </c>
      <c r="Y117" s="283">
        <f t="shared" si="155"/>
        <v>22.999999999999996</v>
      </c>
      <c r="Z117" s="295">
        <f>'BEG 9&amp;U MX'!P10</f>
        <v>6.8</v>
      </c>
      <c r="AA117" s="283">
        <f t="shared" si="155"/>
        <v>15.999999999999991</v>
      </c>
      <c r="AB117" s="300">
        <f>Table351550[[#This Row],[Floor4]]+Table351550[[#This Row],[Vault6]]</f>
        <v>14.850000000000001</v>
      </c>
      <c r="AC117" s="283">
        <f t="shared" ref="AC117" si="172">SUMPRODUCT((AB$7:AB$117&gt;AB117)/COUNTIF(AB$7:AB$117,AB$7:AB$117&amp;""))+1</f>
        <v>34.999999999999993</v>
      </c>
    </row>
  </sheetData>
  <mergeCells count="3">
    <mergeCell ref="A1:AC1"/>
    <mergeCell ref="A2:AC2"/>
    <mergeCell ref="G4:I4"/>
  </mergeCells>
  <phoneticPr fontId="21" type="noConversion"/>
  <conditionalFormatting sqref="P73:P90">
    <cfRule type="cellIs" dxfId="1073" priority="37" operator="equal">
      <formula>3</formula>
    </cfRule>
    <cfRule type="cellIs" dxfId="1072" priority="38" operator="equal">
      <formula>2</formula>
    </cfRule>
    <cfRule type="cellIs" dxfId="1071" priority="39" operator="equal">
      <formula>1</formula>
    </cfRule>
  </conditionalFormatting>
  <conditionalFormatting sqref="Y7:Y116">
    <cfRule type="cellIs" dxfId="1070" priority="34" operator="equal">
      <formula>3</formula>
    </cfRule>
    <cfRule type="cellIs" dxfId="1069" priority="35" operator="equal">
      <formula>2</formula>
    </cfRule>
    <cfRule type="cellIs" dxfId="1068" priority="36" operator="equal">
      <formula>1</formula>
    </cfRule>
  </conditionalFormatting>
  <conditionalFormatting sqref="AC7:AC116">
    <cfRule type="cellIs" dxfId="1067" priority="4" operator="equal">
      <formula>3</formula>
    </cfRule>
    <cfRule type="cellIs" dxfId="1066" priority="5" operator="equal">
      <formula>2</formula>
    </cfRule>
    <cfRule type="cellIs" dxfId="1065" priority="6" operator="equal">
      <formula>1</formula>
    </cfRule>
  </conditionalFormatting>
  <conditionalFormatting sqref="Y117">
    <cfRule type="cellIs" dxfId="1064" priority="19" operator="equal">
      <formula>3</formula>
    </cfRule>
    <cfRule type="cellIs" dxfId="1063" priority="20" operator="equal">
      <formula>2</formula>
    </cfRule>
    <cfRule type="cellIs" dxfId="1062" priority="21" operator="equal">
      <formula>1</formula>
    </cfRule>
  </conditionalFormatting>
  <conditionalFormatting sqref="AA117">
    <cfRule type="cellIs" dxfId="1061" priority="7" operator="equal">
      <formula>3</formula>
    </cfRule>
    <cfRule type="cellIs" dxfId="1060" priority="8" operator="equal">
      <formula>2</formula>
    </cfRule>
    <cfRule type="cellIs" dxfId="1059" priority="9" operator="equal">
      <formula>1</formula>
    </cfRule>
  </conditionalFormatting>
  <conditionalFormatting sqref="AA7:AA116">
    <cfRule type="cellIs" dxfId="1058" priority="10" operator="equal">
      <formula>3</formula>
    </cfRule>
    <cfRule type="cellIs" dxfId="1057" priority="11" operator="equal">
      <formula>2</formula>
    </cfRule>
    <cfRule type="cellIs" dxfId="1056" priority="12" operator="equal">
      <formula>1</formula>
    </cfRule>
  </conditionalFormatting>
  <conditionalFormatting sqref="AC117">
    <cfRule type="cellIs" dxfId="1055" priority="1" operator="equal">
      <formula>3</formula>
    </cfRule>
    <cfRule type="cellIs" dxfId="1054" priority="2" operator="equal">
      <formula>2</formula>
    </cfRule>
    <cfRule type="cellIs" dxfId="1053" priority="3" operator="equal">
      <formula>1</formula>
    </cfRule>
  </conditionalFormatting>
  <pageMargins left="0.75" right="0.75" top="1" bottom="1" header="0.5" footer="0.5"/>
  <pageSetup paperSize="9" scale="17" orientation="landscape" horizontalDpi="4294967292" verticalDpi="4294967292"/>
  <rowBreaks count="1" manualBreakCount="1">
    <brk id="118" max="16383" man="1"/>
  </rowBreaks>
  <colBreaks count="1" manualBreakCount="1">
    <brk id="29" max="1048575" man="1"/>
  </colBreaks>
  <ignoredErrors>
    <ignoredError sqref="Z7:Z9 Z10:Z16 Z17:Z116" formula="1"/>
  </ignoredErrors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J133"/>
  <sheetViews>
    <sheetView zoomScale="90" zoomScaleNormal="90" zoomScalePageLayoutView="90" workbookViewId="0">
      <selection activeCell="A4" sqref="A4"/>
    </sheetView>
  </sheetViews>
  <sheetFormatPr defaultColWidth="8.875" defaultRowHeight="15.75"/>
  <cols>
    <col min="1" max="1" width="4.87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" customWidth="1"/>
    <col min="15" max="16" width="7.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8" customWidth="1"/>
    <col min="22" max="22" width="6.875" customWidth="1"/>
    <col min="23" max="23" width="22.875" bestFit="1" customWidth="1"/>
    <col min="24" max="24" width="9.5" customWidth="1"/>
    <col min="25" max="25" width="5" style="53" customWidth="1"/>
    <col min="26" max="26" width="9.375" customWidth="1"/>
    <col min="27" max="27" width="4.5" style="57" customWidth="1"/>
    <col min="28" max="28" width="9.375" style="39" customWidth="1"/>
    <col min="29" max="29" width="5.5" style="60" customWidth="1"/>
  </cols>
  <sheetData>
    <row r="1" spans="1:6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"/>
      <c r="BJ2" s="2"/>
    </row>
    <row r="3" spans="1:62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">
      <c r="A4" s="8"/>
      <c r="E4" s="1"/>
      <c r="F4" s="1"/>
      <c r="G4" s="464" t="s">
        <v>121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6" spans="1:62" s="8" customFormat="1">
      <c r="A6" s="333" t="s">
        <v>578</v>
      </c>
      <c r="B6" s="125"/>
      <c r="C6" s="125"/>
      <c r="D6" s="125"/>
      <c r="E6" s="126"/>
      <c r="G6" s="333" t="s">
        <v>625</v>
      </c>
      <c r="H6" s="125"/>
      <c r="I6" s="125"/>
      <c r="J6" s="125"/>
      <c r="K6" s="126"/>
      <c r="M6" s="333" t="s">
        <v>693</v>
      </c>
      <c r="N6" s="125"/>
      <c r="O6" s="125"/>
      <c r="P6" s="125"/>
      <c r="Q6" s="126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62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406" t="s">
        <v>583</v>
      </c>
      <c r="V7" s="396">
        <v>740</v>
      </c>
      <c r="W7" s="397" t="s">
        <v>225</v>
      </c>
      <c r="X7" s="401">
        <f>C8</f>
        <v>0</v>
      </c>
      <c r="Y7" s="402">
        <f t="shared" ref="Y7:Y38" si="0">SUMPRODUCT((X$7:X$86&gt;X7)/COUNTIF(X$7:X$86,X$7:X$86&amp;""))+1</f>
        <v>22.999999999999993</v>
      </c>
      <c r="Z7" s="401">
        <f>D8</f>
        <v>0</v>
      </c>
      <c r="AA7" s="402">
        <f t="shared" ref="AA7:AA38" si="1">SUMPRODUCT((Z$7:Z$86&gt;Z7)/COUNTIF(Z$7:Z$86,Z$7:Z$86&amp;""))+1</f>
        <v>30.999999999999989</v>
      </c>
      <c r="AB7" s="403">
        <f>Table351550535[[#This Row],[Floor4]]+Table351550535[[#This Row],[Vault6]]</f>
        <v>0</v>
      </c>
      <c r="AC7" s="402">
        <f t="shared" ref="AC7:AC38" si="2">SUMPRODUCT((AB$7:AB$86&gt;AB7)/COUNTIF(AB$7:AB$86,AB$7:AB$86&amp;""))+1</f>
        <v>45</v>
      </c>
    </row>
    <row r="8" spans="1:62">
      <c r="A8" s="396">
        <v>740</v>
      </c>
      <c r="B8" s="410" t="s">
        <v>225</v>
      </c>
      <c r="C8" s="398">
        <v>0</v>
      </c>
      <c r="D8" s="398">
        <v>0</v>
      </c>
      <c r="E8" s="398">
        <f>SUM(C8,D8)</f>
        <v>0</v>
      </c>
      <c r="G8" s="149">
        <v>746</v>
      </c>
      <c r="H8" s="93" t="s">
        <v>646</v>
      </c>
      <c r="I8" s="13">
        <v>9.6</v>
      </c>
      <c r="J8" s="13">
        <v>9.1</v>
      </c>
      <c r="K8" s="13">
        <f>SUM(I8,J8)</f>
        <v>18.7</v>
      </c>
      <c r="M8" s="149">
        <v>752</v>
      </c>
      <c r="N8" s="93" t="s">
        <v>51</v>
      </c>
      <c r="O8" s="13">
        <v>9.8000000000000007</v>
      </c>
      <c r="P8" s="13">
        <v>9.6999999999999993</v>
      </c>
      <c r="Q8" s="13">
        <f>SUM(O8,P8)</f>
        <v>19.5</v>
      </c>
      <c r="U8" s="16" t="s">
        <v>583</v>
      </c>
      <c r="V8" s="149">
        <v>741</v>
      </c>
      <c r="W8" s="93" t="s">
        <v>594</v>
      </c>
      <c r="X8" s="14">
        <f t="shared" ref="X8:X12" si="3">C9</f>
        <v>8.4</v>
      </c>
      <c r="Y8" s="283">
        <f t="shared" si="0"/>
        <v>15.999999999999998</v>
      </c>
      <c r="Z8" s="14">
        <f t="shared" ref="Z8:Z12" si="4">D9</f>
        <v>8.6</v>
      </c>
      <c r="AA8" s="283">
        <f t="shared" si="1"/>
        <v>22.999999999999996</v>
      </c>
      <c r="AB8" s="69">
        <f>Table351550535[[#This Row],[Floor4]]+Table351550535[[#This Row],[Vault6]]</f>
        <v>17</v>
      </c>
      <c r="AC8" s="283">
        <f t="shared" si="2"/>
        <v>39.000000000000007</v>
      </c>
    </row>
    <row r="9" spans="1:62">
      <c r="A9" s="149">
        <v>741</v>
      </c>
      <c r="B9" s="95" t="s">
        <v>594</v>
      </c>
      <c r="C9" s="13">
        <v>8.4</v>
      </c>
      <c r="D9" s="13">
        <v>8.6</v>
      </c>
      <c r="E9" s="13">
        <f t="shared" ref="E9:E13" si="5">SUM(C9,D9)</f>
        <v>17</v>
      </c>
      <c r="G9" s="149">
        <v>747</v>
      </c>
      <c r="H9" s="93" t="s">
        <v>647</v>
      </c>
      <c r="I9" s="13">
        <v>8.8000000000000007</v>
      </c>
      <c r="J9" s="13">
        <v>9.1999999999999993</v>
      </c>
      <c r="K9" s="13">
        <f t="shared" ref="K9:K13" si="6">SUM(I9,J9)</f>
        <v>18</v>
      </c>
      <c r="M9" s="149">
        <v>753</v>
      </c>
      <c r="N9" s="93" t="s">
        <v>50</v>
      </c>
      <c r="O9" s="13">
        <v>9.6999999999999993</v>
      </c>
      <c r="P9" s="13">
        <v>8.6</v>
      </c>
      <c r="Q9" s="13">
        <f t="shared" ref="Q9:Q13" si="7">SUM(O9,P9)</f>
        <v>18.299999999999997</v>
      </c>
      <c r="U9" s="16" t="s">
        <v>583</v>
      </c>
      <c r="V9" s="149">
        <v>742</v>
      </c>
      <c r="W9" s="93" t="s">
        <v>1339</v>
      </c>
      <c r="X9" s="14">
        <f t="shared" si="3"/>
        <v>8.8000000000000007</v>
      </c>
      <c r="Y9" s="283">
        <f t="shared" si="0"/>
        <v>11.999999999999998</v>
      </c>
      <c r="Z9" s="14">
        <f t="shared" si="4"/>
        <v>8.25</v>
      </c>
      <c r="AA9" s="283">
        <f t="shared" si="1"/>
        <v>28.999999999999989</v>
      </c>
      <c r="AB9" s="69">
        <f>Table351550535[[#This Row],[Floor4]]+Table351550535[[#This Row],[Vault6]]</f>
        <v>17.05</v>
      </c>
      <c r="AC9" s="283">
        <f t="shared" si="2"/>
        <v>38.000000000000007</v>
      </c>
    </row>
    <row r="10" spans="1:62">
      <c r="A10" s="149">
        <v>742</v>
      </c>
      <c r="B10" s="95" t="s">
        <v>1339</v>
      </c>
      <c r="C10" s="13">
        <v>8.8000000000000007</v>
      </c>
      <c r="D10" s="13">
        <v>8.25</v>
      </c>
      <c r="E10" s="13">
        <f t="shared" si="5"/>
        <v>17.05</v>
      </c>
      <c r="G10" s="149">
        <v>748</v>
      </c>
      <c r="H10" s="93" t="s">
        <v>648</v>
      </c>
      <c r="I10" s="13">
        <v>9.1999999999999993</v>
      </c>
      <c r="J10" s="13">
        <v>7.9</v>
      </c>
      <c r="K10" s="13">
        <f t="shared" si="6"/>
        <v>17.100000000000001</v>
      </c>
      <c r="M10" s="149">
        <v>754</v>
      </c>
      <c r="N10" s="93" t="s">
        <v>149</v>
      </c>
      <c r="O10" s="13">
        <v>8.8000000000000007</v>
      </c>
      <c r="P10" s="13">
        <v>9.5500000000000007</v>
      </c>
      <c r="Q10" s="13">
        <f t="shared" si="7"/>
        <v>18.350000000000001</v>
      </c>
      <c r="U10" s="16" t="s">
        <v>583</v>
      </c>
      <c r="V10" s="149">
        <v>743</v>
      </c>
      <c r="W10" s="93" t="s">
        <v>595</v>
      </c>
      <c r="X10" s="14">
        <f t="shared" si="3"/>
        <v>8.8000000000000007</v>
      </c>
      <c r="Y10" s="283">
        <f t="shared" si="0"/>
        <v>11.999999999999998</v>
      </c>
      <c r="Z10" s="14">
        <f t="shared" si="4"/>
        <v>8.4</v>
      </c>
      <c r="AA10" s="283">
        <f t="shared" si="1"/>
        <v>26.999999999999993</v>
      </c>
      <c r="AB10" s="69">
        <f>Table351550535[[#This Row],[Floor4]]+Table351550535[[#This Row],[Vault6]]</f>
        <v>17.200000000000003</v>
      </c>
      <c r="AC10" s="283">
        <f t="shared" si="2"/>
        <v>35</v>
      </c>
    </row>
    <row r="11" spans="1:62">
      <c r="A11" s="149">
        <v>743</v>
      </c>
      <c r="B11" s="95" t="s">
        <v>595</v>
      </c>
      <c r="C11" s="13">
        <v>8.8000000000000007</v>
      </c>
      <c r="D11" s="13">
        <v>8.4</v>
      </c>
      <c r="E11" s="13">
        <f t="shared" si="5"/>
        <v>17.200000000000003</v>
      </c>
      <c r="G11" s="149">
        <v>749</v>
      </c>
      <c r="H11" s="93" t="s">
        <v>649</v>
      </c>
      <c r="I11" s="13">
        <v>8.8000000000000007</v>
      </c>
      <c r="J11" s="13">
        <v>8.5</v>
      </c>
      <c r="K11" s="13">
        <f t="shared" si="6"/>
        <v>17.3</v>
      </c>
      <c r="M11" s="149">
        <v>755</v>
      </c>
      <c r="N11" s="93" t="s">
        <v>272</v>
      </c>
      <c r="O11" s="13">
        <v>8.5</v>
      </c>
      <c r="P11" s="13">
        <v>9.25</v>
      </c>
      <c r="Q11" s="13">
        <f t="shared" si="7"/>
        <v>17.75</v>
      </c>
      <c r="U11" s="16" t="s">
        <v>583</v>
      </c>
      <c r="V11" s="149">
        <v>744</v>
      </c>
      <c r="W11" s="100" t="s">
        <v>224</v>
      </c>
      <c r="X11" s="14">
        <f t="shared" si="3"/>
        <v>9.3000000000000007</v>
      </c>
      <c r="Y11" s="283">
        <f t="shared" si="0"/>
        <v>7</v>
      </c>
      <c r="Z11" s="14">
        <f t="shared" si="4"/>
        <v>8.6999999999999993</v>
      </c>
      <c r="AA11" s="283">
        <f t="shared" si="1"/>
        <v>21</v>
      </c>
      <c r="AB11" s="69">
        <f>Table351550535[[#This Row],[Floor4]]+Table351550535[[#This Row],[Vault6]]</f>
        <v>18</v>
      </c>
      <c r="AC11" s="283">
        <f t="shared" si="2"/>
        <v>22</v>
      </c>
    </row>
    <row r="12" spans="1:62">
      <c r="A12" s="149">
        <v>744</v>
      </c>
      <c r="B12" s="108" t="s">
        <v>224</v>
      </c>
      <c r="C12" s="13">
        <v>9.3000000000000007</v>
      </c>
      <c r="D12" s="13">
        <v>8.6999999999999993</v>
      </c>
      <c r="E12" s="13">
        <f t="shared" si="5"/>
        <v>18</v>
      </c>
      <c r="G12" s="149">
        <v>750</v>
      </c>
      <c r="H12" s="97"/>
      <c r="I12" s="13">
        <v>0</v>
      </c>
      <c r="J12" s="13">
        <v>0</v>
      </c>
      <c r="K12" s="13">
        <f t="shared" si="6"/>
        <v>0</v>
      </c>
      <c r="M12" s="149">
        <v>756</v>
      </c>
      <c r="N12" s="93" t="s">
        <v>694</v>
      </c>
      <c r="O12" s="13">
        <v>9.1999999999999993</v>
      </c>
      <c r="P12" s="13">
        <v>9.4499999999999993</v>
      </c>
      <c r="Q12" s="13">
        <f t="shared" si="7"/>
        <v>18.649999999999999</v>
      </c>
      <c r="U12" s="16" t="s">
        <v>583</v>
      </c>
      <c r="V12" s="149">
        <v>745</v>
      </c>
      <c r="W12" s="101" t="s">
        <v>1338</v>
      </c>
      <c r="X12" s="14">
        <f t="shared" si="3"/>
        <v>8.6999999999999993</v>
      </c>
      <c r="Y12" s="283">
        <f t="shared" si="0"/>
        <v>12.999999999999998</v>
      </c>
      <c r="Z12" s="14">
        <f t="shared" si="4"/>
        <v>8.5</v>
      </c>
      <c r="AA12" s="283">
        <f t="shared" si="1"/>
        <v>24.999999999999993</v>
      </c>
      <c r="AB12" s="69">
        <f>Table351550535[[#This Row],[Floor4]]+Table351550535[[#This Row],[Vault6]]</f>
        <v>17.2</v>
      </c>
      <c r="AC12" s="283">
        <f t="shared" si="2"/>
        <v>35</v>
      </c>
    </row>
    <row r="13" spans="1:62" ht="16.5" thickBot="1">
      <c r="A13" s="149">
        <v>745</v>
      </c>
      <c r="B13" s="108" t="s">
        <v>1338</v>
      </c>
      <c r="C13" s="13">
        <v>8.6999999999999993</v>
      </c>
      <c r="D13" s="13">
        <v>8.5</v>
      </c>
      <c r="E13" s="13">
        <f t="shared" si="5"/>
        <v>17.2</v>
      </c>
      <c r="F13" s="8"/>
      <c r="G13" s="149">
        <v>751</v>
      </c>
      <c r="H13" s="97"/>
      <c r="I13" s="13">
        <v>0</v>
      </c>
      <c r="J13" s="13">
        <v>0</v>
      </c>
      <c r="K13" s="13">
        <f t="shared" si="6"/>
        <v>0</v>
      </c>
      <c r="L13" s="8"/>
      <c r="M13" s="149">
        <v>757</v>
      </c>
      <c r="N13" s="93" t="s">
        <v>695</v>
      </c>
      <c r="O13" s="13">
        <v>9.1999999999999993</v>
      </c>
      <c r="P13" s="13">
        <v>9.1</v>
      </c>
      <c r="Q13" s="13">
        <f t="shared" si="7"/>
        <v>18.299999999999997</v>
      </c>
      <c r="U13" s="16" t="s">
        <v>215</v>
      </c>
      <c r="V13" s="149">
        <v>818</v>
      </c>
      <c r="W13" s="93" t="s">
        <v>141</v>
      </c>
      <c r="X13" s="14">
        <f>I52</f>
        <v>8.5</v>
      </c>
      <c r="Y13" s="283">
        <f t="shared" si="0"/>
        <v>14.999999999999998</v>
      </c>
      <c r="Z13" s="14">
        <f>J52</f>
        <v>9.4</v>
      </c>
      <c r="AA13" s="283">
        <f t="shared" si="1"/>
        <v>7.9999999999999991</v>
      </c>
      <c r="AB13" s="69">
        <f>Table351550535[[#This Row],[Floor4]]+Table351550535[[#This Row],[Vault6]]</f>
        <v>17.899999999999999</v>
      </c>
      <c r="AC13" s="283">
        <f t="shared" si="2"/>
        <v>24</v>
      </c>
    </row>
    <row r="14" spans="1:62" ht="16.5" thickBot="1">
      <c r="B14" s="25" t="s">
        <v>10</v>
      </c>
      <c r="C14" s="19">
        <f>SUM(C8:C13)-SMALL(C8:C13,1)-SMALL(C8:C13,2)</f>
        <v>35.6</v>
      </c>
      <c r="D14" s="19">
        <f>SUM(D8:D13)-SMALL(D8:D13,1)-SMALL(D8:D13,2)</f>
        <v>34.200000000000003</v>
      </c>
      <c r="E14" s="20">
        <f>SUM(C14:D14)</f>
        <v>69.800000000000011</v>
      </c>
      <c r="F14" s="8"/>
      <c r="H14" s="25" t="s">
        <v>10</v>
      </c>
      <c r="I14" s="19">
        <f>SUM(I8:I13)-SMALL(I8:I13,1)-SMALL(I8:I13,2)</f>
        <v>36.4</v>
      </c>
      <c r="J14" s="19">
        <f>SUM(J8:J13)-SMALL(J8:J13,1)-SMALL(J8:J13,2)</f>
        <v>34.699999999999996</v>
      </c>
      <c r="K14" s="20">
        <f>SUM(I14:J14)</f>
        <v>71.099999999999994</v>
      </c>
      <c r="L14" s="8"/>
      <c r="N14" s="25" t="s">
        <v>10</v>
      </c>
      <c r="O14" s="19">
        <f>SUM(O8:O13)-SMALL(O8:O13,1)-SMALL(O8:O13,2)</f>
        <v>37.900000000000006</v>
      </c>
      <c r="P14" s="19">
        <f>SUM(P8:P13)-SMALL(P8:P13,1)-SMALL(P8:P13,2)</f>
        <v>37.949999999999996</v>
      </c>
      <c r="Q14" s="20">
        <f>SUM(O14:P14)</f>
        <v>75.849999999999994</v>
      </c>
      <c r="U14" s="16" t="s">
        <v>215</v>
      </c>
      <c r="V14" s="161">
        <v>819</v>
      </c>
      <c r="W14" s="42" t="s">
        <v>621</v>
      </c>
      <c r="X14" s="14">
        <f>I53</f>
        <v>8.9</v>
      </c>
      <c r="Y14" s="283">
        <f t="shared" si="0"/>
        <v>10.999999999999998</v>
      </c>
      <c r="Z14" s="14">
        <f>J53</f>
        <v>8.25</v>
      </c>
      <c r="AA14" s="283">
        <f t="shared" si="1"/>
        <v>28.999999999999989</v>
      </c>
      <c r="AB14" s="69">
        <f>Table351550535[[#This Row],[Floor4]]+Table351550535[[#This Row],[Vault6]]</f>
        <v>17.149999999999999</v>
      </c>
      <c r="AC14" s="283">
        <f t="shared" si="2"/>
        <v>36</v>
      </c>
    </row>
    <row r="15" spans="1:62">
      <c r="B15" s="94" t="s">
        <v>37</v>
      </c>
      <c r="D15" s="25"/>
      <c r="E15" s="26"/>
      <c r="H15" s="94" t="s">
        <v>37</v>
      </c>
      <c r="J15" s="25"/>
      <c r="K15" s="26"/>
      <c r="N15" s="94" t="s">
        <v>37</v>
      </c>
      <c r="P15" s="25"/>
      <c r="Q15" s="26"/>
      <c r="U15" s="16" t="s">
        <v>626</v>
      </c>
      <c r="V15" s="149">
        <v>746</v>
      </c>
      <c r="W15" s="93" t="s">
        <v>646</v>
      </c>
      <c r="X15" s="14">
        <f>I8</f>
        <v>9.6</v>
      </c>
      <c r="Y15" s="283">
        <f t="shared" si="0"/>
        <v>4</v>
      </c>
      <c r="Z15" s="14">
        <f>J8</f>
        <v>9.1</v>
      </c>
      <c r="AA15" s="283">
        <f t="shared" si="1"/>
        <v>14.000000000000002</v>
      </c>
      <c r="AB15" s="69">
        <f>Table351550535[[#This Row],[Floor4]]+Table351550535[[#This Row],[Vault6]]</f>
        <v>18.7</v>
      </c>
      <c r="AC15" s="283">
        <f t="shared" si="2"/>
        <v>10</v>
      </c>
    </row>
    <row r="16" spans="1:62">
      <c r="G16" s="8"/>
      <c r="U16" s="16" t="s">
        <v>626</v>
      </c>
      <c r="V16" s="149">
        <v>747</v>
      </c>
      <c r="W16" s="93" t="s">
        <v>647</v>
      </c>
      <c r="X16" s="14">
        <f t="shared" ref="X16:X17" si="8">I9</f>
        <v>8.8000000000000007</v>
      </c>
      <c r="Y16" s="283">
        <f t="shared" si="0"/>
        <v>11.999999999999998</v>
      </c>
      <c r="Z16" s="14">
        <f t="shared" ref="Z16:Z18" si="9">J9</f>
        <v>9.1999999999999993</v>
      </c>
      <c r="AA16" s="283">
        <f t="shared" si="1"/>
        <v>12.000000000000002</v>
      </c>
      <c r="AB16" s="69">
        <f>Table351550535[[#This Row],[Floor4]]+Table351550535[[#This Row],[Vault6]]</f>
        <v>18</v>
      </c>
      <c r="AC16" s="283">
        <f t="shared" si="2"/>
        <v>22</v>
      </c>
    </row>
    <row r="17" spans="1:29">
      <c r="A17" s="252" t="s">
        <v>85</v>
      </c>
      <c r="B17" s="125"/>
      <c r="C17" s="125"/>
      <c r="D17" s="125"/>
      <c r="E17" s="126"/>
      <c r="F17" s="8"/>
      <c r="G17" s="333" t="s">
        <v>319</v>
      </c>
      <c r="H17" s="125"/>
      <c r="I17" s="125"/>
      <c r="J17" s="125"/>
      <c r="K17" s="126"/>
      <c r="M17" s="333" t="s">
        <v>369</v>
      </c>
      <c r="N17" s="125"/>
      <c r="O17" s="125"/>
      <c r="P17" s="125"/>
      <c r="Q17" s="126"/>
      <c r="U17" s="16" t="s">
        <v>626</v>
      </c>
      <c r="V17" s="149">
        <v>748</v>
      </c>
      <c r="W17" s="93" t="s">
        <v>648</v>
      </c>
      <c r="X17" s="14">
        <f t="shared" si="8"/>
        <v>9.1999999999999993</v>
      </c>
      <c r="Y17" s="283">
        <f t="shared" si="0"/>
        <v>7.9999999999999991</v>
      </c>
      <c r="Z17" s="14">
        <f>J10</f>
        <v>7.9</v>
      </c>
      <c r="AA17" s="283">
        <f t="shared" si="1"/>
        <v>29.999999999999989</v>
      </c>
      <c r="AB17" s="69">
        <f>Table351550535[[#This Row],[Floor4]]+Table351550535[[#This Row],[Vault6]]</f>
        <v>17.100000000000001</v>
      </c>
      <c r="AC17" s="283">
        <f t="shared" si="2"/>
        <v>37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G18" s="9" t="s">
        <v>1</v>
      </c>
      <c r="H18" s="9" t="s">
        <v>2</v>
      </c>
      <c r="I18" s="9" t="s">
        <v>3</v>
      </c>
      <c r="J18" s="9" t="s">
        <v>4</v>
      </c>
      <c r="K18" s="9" t="s">
        <v>5</v>
      </c>
      <c r="M18" s="9" t="s">
        <v>1</v>
      </c>
      <c r="N18" s="9" t="s">
        <v>2</v>
      </c>
      <c r="O18" s="9" t="s">
        <v>3</v>
      </c>
      <c r="P18" s="9" t="s">
        <v>4</v>
      </c>
      <c r="Q18" s="9" t="s">
        <v>5</v>
      </c>
      <c r="U18" s="16" t="s">
        <v>626</v>
      </c>
      <c r="V18" s="149">
        <v>749</v>
      </c>
      <c r="W18" s="93" t="s">
        <v>649</v>
      </c>
      <c r="X18" s="14">
        <f>I11</f>
        <v>8.8000000000000007</v>
      </c>
      <c r="Y18" s="283">
        <f t="shared" si="0"/>
        <v>11.999999999999998</v>
      </c>
      <c r="Z18" s="14">
        <f t="shared" si="9"/>
        <v>8.5</v>
      </c>
      <c r="AA18" s="283">
        <f t="shared" si="1"/>
        <v>24.999999999999993</v>
      </c>
      <c r="AB18" s="69">
        <f>Table351550535[[#This Row],[Floor4]]+Table351550535[[#This Row],[Vault6]]</f>
        <v>17.3</v>
      </c>
      <c r="AC18" s="283">
        <f t="shared" si="2"/>
        <v>33</v>
      </c>
    </row>
    <row r="19" spans="1:29">
      <c r="A19" s="149">
        <v>758</v>
      </c>
      <c r="B19" s="93" t="s">
        <v>295</v>
      </c>
      <c r="C19" s="13">
        <v>9.5</v>
      </c>
      <c r="D19" s="13">
        <v>9.1999999999999993</v>
      </c>
      <c r="E19" s="13">
        <f>SUM(C19,D19)</f>
        <v>18.7</v>
      </c>
      <c r="G19" s="149">
        <v>764</v>
      </c>
      <c r="H19" s="93" t="s">
        <v>351</v>
      </c>
      <c r="I19" s="13">
        <v>9</v>
      </c>
      <c r="J19" s="13">
        <v>9.4</v>
      </c>
      <c r="K19" s="13">
        <f>SUM(I19,J19)</f>
        <v>18.399999999999999</v>
      </c>
      <c r="M19" s="149">
        <v>770</v>
      </c>
      <c r="N19" s="93" t="s">
        <v>160</v>
      </c>
      <c r="O19" s="13">
        <v>9.5</v>
      </c>
      <c r="P19" s="13">
        <v>9</v>
      </c>
      <c r="Q19" s="13">
        <f>SUM(O19,P19)</f>
        <v>18.5</v>
      </c>
      <c r="U19" s="16" t="s">
        <v>81</v>
      </c>
      <c r="V19" s="149">
        <v>752</v>
      </c>
      <c r="W19" s="93" t="s">
        <v>51</v>
      </c>
      <c r="X19" s="14">
        <f>O8</f>
        <v>9.8000000000000007</v>
      </c>
      <c r="Y19" s="283">
        <f t="shared" si="0"/>
        <v>2</v>
      </c>
      <c r="Z19" s="14">
        <f>P8</f>
        <v>9.6999999999999993</v>
      </c>
      <c r="AA19" s="283">
        <f t="shared" si="1"/>
        <v>2</v>
      </c>
      <c r="AB19" s="69">
        <f>Table351550535[[#This Row],[Floor4]]+Table351550535[[#This Row],[Vault6]]</f>
        <v>19.5</v>
      </c>
      <c r="AC19" s="283">
        <f t="shared" si="2"/>
        <v>2</v>
      </c>
    </row>
    <row r="20" spans="1:29">
      <c r="A20" s="149">
        <v>759</v>
      </c>
      <c r="B20" s="93" t="s">
        <v>152</v>
      </c>
      <c r="C20" s="13">
        <v>8.3000000000000007</v>
      </c>
      <c r="D20" s="13">
        <v>8.5500000000000007</v>
      </c>
      <c r="E20" s="13">
        <f t="shared" ref="E20:E24" si="10">SUM(C20,D20)</f>
        <v>16.850000000000001</v>
      </c>
      <c r="G20" s="149">
        <v>765</v>
      </c>
      <c r="H20" s="93" t="s">
        <v>352</v>
      </c>
      <c r="I20" s="13">
        <v>9.9</v>
      </c>
      <c r="J20" s="13">
        <v>9.3000000000000007</v>
      </c>
      <c r="K20" s="13">
        <f t="shared" ref="K20:K24" si="11">SUM(I20,J20)</f>
        <v>19.200000000000003</v>
      </c>
      <c r="M20" s="149">
        <v>771</v>
      </c>
      <c r="N20" s="93" t="s">
        <v>98</v>
      </c>
      <c r="O20" s="13">
        <v>9.8000000000000007</v>
      </c>
      <c r="P20" s="13">
        <v>9.15</v>
      </c>
      <c r="Q20" s="13">
        <f t="shared" ref="Q20:Q24" si="12">SUM(O20,P20)</f>
        <v>18.950000000000003</v>
      </c>
      <c r="U20" s="16" t="s">
        <v>81</v>
      </c>
      <c r="V20" s="149">
        <v>753</v>
      </c>
      <c r="W20" s="93" t="s">
        <v>50</v>
      </c>
      <c r="X20" s="14">
        <f t="shared" ref="X20:X24" si="13">O9</f>
        <v>9.6999999999999993</v>
      </c>
      <c r="Y20" s="283">
        <f t="shared" si="0"/>
        <v>3</v>
      </c>
      <c r="Z20" s="14">
        <f t="shared" ref="Z20:Z24" si="14">P9</f>
        <v>8.6</v>
      </c>
      <c r="AA20" s="283">
        <f t="shared" si="1"/>
        <v>22.999999999999996</v>
      </c>
      <c r="AB20" s="69">
        <f>Table351550535[[#This Row],[Floor4]]+Table351550535[[#This Row],[Vault6]]</f>
        <v>18.299999999999997</v>
      </c>
      <c r="AC20" s="283">
        <f t="shared" si="2"/>
        <v>18</v>
      </c>
    </row>
    <row r="21" spans="1:29">
      <c r="A21" s="149">
        <v>760</v>
      </c>
      <c r="B21" s="93" t="s">
        <v>737</v>
      </c>
      <c r="C21" s="13">
        <v>8.9</v>
      </c>
      <c r="D21" s="13">
        <v>8.5500000000000007</v>
      </c>
      <c r="E21" s="13">
        <f t="shared" si="10"/>
        <v>17.450000000000003</v>
      </c>
      <c r="G21" s="149">
        <v>766</v>
      </c>
      <c r="H21" s="93" t="s">
        <v>345</v>
      </c>
      <c r="I21" s="13">
        <v>9</v>
      </c>
      <c r="J21" s="13">
        <v>9.5</v>
      </c>
      <c r="K21" s="13">
        <f t="shared" si="11"/>
        <v>18.5</v>
      </c>
      <c r="M21" s="149">
        <v>772</v>
      </c>
      <c r="N21" s="93" t="s">
        <v>367</v>
      </c>
      <c r="O21" s="13">
        <v>9.1</v>
      </c>
      <c r="P21" s="13">
        <v>9</v>
      </c>
      <c r="Q21" s="13">
        <f t="shared" si="12"/>
        <v>18.100000000000001</v>
      </c>
      <c r="U21" s="16" t="s">
        <v>81</v>
      </c>
      <c r="V21" s="149">
        <v>754</v>
      </c>
      <c r="W21" s="93" t="s">
        <v>149</v>
      </c>
      <c r="X21" s="14">
        <f t="shared" si="13"/>
        <v>8.8000000000000007</v>
      </c>
      <c r="Y21" s="283">
        <f t="shared" si="0"/>
        <v>11.999999999999998</v>
      </c>
      <c r="Z21" s="14">
        <f t="shared" si="14"/>
        <v>9.5500000000000007</v>
      </c>
      <c r="AA21" s="283">
        <f t="shared" si="1"/>
        <v>5</v>
      </c>
      <c r="AB21" s="69">
        <f>Table351550535[[#This Row],[Floor4]]+Table351550535[[#This Row],[Vault6]]</f>
        <v>18.350000000000001</v>
      </c>
      <c r="AC21" s="283">
        <f t="shared" si="2"/>
        <v>17</v>
      </c>
    </row>
    <row r="22" spans="1:29">
      <c r="A22" s="149">
        <v>761</v>
      </c>
      <c r="B22" s="93" t="s">
        <v>151</v>
      </c>
      <c r="C22" s="13">
        <v>8.1999999999999993</v>
      </c>
      <c r="D22" s="13">
        <v>9.5500000000000007</v>
      </c>
      <c r="E22" s="13">
        <f t="shared" si="10"/>
        <v>17.75</v>
      </c>
      <c r="G22" s="149">
        <v>767</v>
      </c>
      <c r="H22" s="93" t="s">
        <v>353</v>
      </c>
      <c r="I22" s="13">
        <v>9.8000000000000007</v>
      </c>
      <c r="J22" s="13">
        <v>9.5500000000000007</v>
      </c>
      <c r="K22" s="13">
        <f t="shared" si="11"/>
        <v>19.350000000000001</v>
      </c>
      <c r="M22" s="149">
        <v>773</v>
      </c>
      <c r="N22" s="93" t="s">
        <v>161</v>
      </c>
      <c r="O22" s="13">
        <v>9</v>
      </c>
      <c r="P22" s="13">
        <v>8.9499999999999993</v>
      </c>
      <c r="Q22" s="13">
        <f t="shared" si="12"/>
        <v>17.95</v>
      </c>
      <c r="U22" s="16" t="s">
        <v>81</v>
      </c>
      <c r="V22" s="149">
        <v>755</v>
      </c>
      <c r="W22" s="93" t="s">
        <v>272</v>
      </c>
      <c r="X22" s="14">
        <f>O11</f>
        <v>8.5</v>
      </c>
      <c r="Y22" s="283">
        <f t="shared" si="0"/>
        <v>14.999999999999998</v>
      </c>
      <c r="Z22" s="14">
        <f>P11</f>
        <v>9.25</v>
      </c>
      <c r="AA22" s="283">
        <f t="shared" si="1"/>
        <v>11</v>
      </c>
      <c r="AB22" s="69">
        <f>Table351550535[[#This Row],[Floor4]]+Table351550535[[#This Row],[Vault6]]</f>
        <v>17.75</v>
      </c>
      <c r="AC22" s="283">
        <f t="shared" si="2"/>
        <v>26</v>
      </c>
    </row>
    <row r="23" spans="1:29">
      <c r="A23" s="149">
        <v>762</v>
      </c>
      <c r="B23" s="97"/>
      <c r="C23" s="13">
        <v>0</v>
      </c>
      <c r="D23" s="13">
        <v>0</v>
      </c>
      <c r="E23" s="13">
        <f t="shared" si="10"/>
        <v>0</v>
      </c>
      <c r="G23" s="149">
        <v>768</v>
      </c>
      <c r="H23" s="93" t="s">
        <v>348</v>
      </c>
      <c r="I23" s="13">
        <v>9.6999999999999993</v>
      </c>
      <c r="J23" s="13">
        <v>9.4</v>
      </c>
      <c r="K23" s="13">
        <f t="shared" si="11"/>
        <v>19.100000000000001</v>
      </c>
      <c r="M23" s="149">
        <v>774</v>
      </c>
      <c r="N23" s="93" t="s">
        <v>880</v>
      </c>
      <c r="O23" s="13">
        <v>8.9</v>
      </c>
      <c r="P23" s="13">
        <v>9.15</v>
      </c>
      <c r="Q23" s="13">
        <f t="shared" si="12"/>
        <v>18.05</v>
      </c>
      <c r="U23" s="16" t="s">
        <v>81</v>
      </c>
      <c r="V23" s="149">
        <v>756</v>
      </c>
      <c r="W23" s="93" t="s">
        <v>694</v>
      </c>
      <c r="X23" s="14">
        <f t="shared" si="13"/>
        <v>9.1999999999999993</v>
      </c>
      <c r="Y23" s="283">
        <f t="shared" si="0"/>
        <v>7.9999999999999991</v>
      </c>
      <c r="Z23" s="14">
        <f t="shared" si="14"/>
        <v>9.4499999999999993</v>
      </c>
      <c r="AA23" s="283">
        <f t="shared" si="1"/>
        <v>7</v>
      </c>
      <c r="AB23" s="69">
        <f>Table351550535[[#This Row],[Floor4]]+Table351550535[[#This Row],[Vault6]]</f>
        <v>18.649999999999999</v>
      </c>
      <c r="AC23" s="283">
        <f t="shared" si="2"/>
        <v>11</v>
      </c>
    </row>
    <row r="24" spans="1:29" ht="16.5" thickBot="1">
      <c r="A24" s="149">
        <v>763</v>
      </c>
      <c r="B24" s="97"/>
      <c r="C24" s="13">
        <v>0</v>
      </c>
      <c r="D24" s="13">
        <v>0</v>
      </c>
      <c r="E24" s="13">
        <f t="shared" si="10"/>
        <v>0</v>
      </c>
      <c r="F24" s="8"/>
      <c r="G24" s="149">
        <v>769</v>
      </c>
      <c r="H24" s="97"/>
      <c r="I24" s="13">
        <v>0</v>
      </c>
      <c r="J24" s="13">
        <v>0</v>
      </c>
      <c r="K24" s="13">
        <f t="shared" si="11"/>
        <v>0</v>
      </c>
      <c r="M24" s="149">
        <v>775</v>
      </c>
      <c r="N24" s="100" t="s">
        <v>368</v>
      </c>
      <c r="O24" s="13">
        <v>9.1999999999999993</v>
      </c>
      <c r="P24" s="13">
        <v>8.4499999999999993</v>
      </c>
      <c r="Q24" s="13">
        <f t="shared" si="12"/>
        <v>17.649999999999999</v>
      </c>
      <c r="U24" s="16" t="s">
        <v>81</v>
      </c>
      <c r="V24" s="149">
        <v>757</v>
      </c>
      <c r="W24" s="93" t="s">
        <v>695</v>
      </c>
      <c r="X24" s="14">
        <f t="shared" si="13"/>
        <v>9.1999999999999993</v>
      </c>
      <c r="Y24" s="283">
        <f t="shared" si="0"/>
        <v>7.9999999999999991</v>
      </c>
      <c r="Z24" s="14">
        <f t="shared" si="14"/>
        <v>9.1</v>
      </c>
      <c r="AA24" s="283">
        <f t="shared" si="1"/>
        <v>14.000000000000002</v>
      </c>
      <c r="AB24" s="69">
        <f>Table351550535[[#This Row],[Floor4]]+Table351550535[[#This Row],[Vault6]]</f>
        <v>18.299999999999997</v>
      </c>
      <c r="AC24" s="283">
        <f t="shared" si="2"/>
        <v>18</v>
      </c>
    </row>
    <row r="25" spans="1:29" ht="16.5" thickBot="1">
      <c r="B25" s="25" t="s">
        <v>10</v>
      </c>
      <c r="C25" s="19">
        <f>SUM(C19:C24)-SMALL(C19:C24,1)-SMALL(C19:C24,2)</f>
        <v>34.900000000000006</v>
      </c>
      <c r="D25" s="19">
        <f>SUM(D19:D24)-SMALL(D19:D24,1)-SMALL(D19:D24,2)</f>
        <v>35.85</v>
      </c>
      <c r="E25" s="20">
        <f>SUM(C25:D25)</f>
        <v>70.75</v>
      </c>
      <c r="F25" s="8"/>
      <c r="H25" s="25" t="s">
        <v>10</v>
      </c>
      <c r="I25" s="19">
        <f>SUM(I19:I24)-SMALL(I19:I24,1)-SMALL(I19:I24,2)</f>
        <v>38.400000000000006</v>
      </c>
      <c r="J25" s="19">
        <f>SUM(J19:J24)-SMALL(J19:J24,1)-SMALL(J19:J24,2)</f>
        <v>37.849999999999994</v>
      </c>
      <c r="K25" s="20">
        <f>SUM(I25:J25)</f>
        <v>76.25</v>
      </c>
      <c r="N25" s="25" t="s">
        <v>10</v>
      </c>
      <c r="O25" s="19">
        <f>SUM(O19:O24)-SMALL(O19:O24,1)-SMALL(O19:O24,2)</f>
        <v>37.6</v>
      </c>
      <c r="P25" s="19">
        <f>SUM(P19:P24)-SMALL(P19:P24,1)-SMALL(P19:P24,2)</f>
        <v>36.299999999999983</v>
      </c>
      <c r="Q25" s="20">
        <f>SUM(O25:P25)</f>
        <v>73.899999999999977</v>
      </c>
      <c r="U25" s="16" t="s">
        <v>706</v>
      </c>
      <c r="V25" s="149">
        <v>758</v>
      </c>
      <c r="W25" s="93" t="s">
        <v>295</v>
      </c>
      <c r="X25" s="14">
        <f>C19</f>
        <v>9.5</v>
      </c>
      <c r="Y25" s="283">
        <f t="shared" si="0"/>
        <v>5</v>
      </c>
      <c r="Z25" s="14">
        <f>D19</f>
        <v>9.1999999999999993</v>
      </c>
      <c r="AA25" s="283">
        <f t="shared" si="1"/>
        <v>12.000000000000002</v>
      </c>
      <c r="AB25" s="69">
        <f>Table351550535[[#This Row],[Floor4]]+Table351550535[[#This Row],[Vault6]]</f>
        <v>18.7</v>
      </c>
      <c r="AC25" s="283">
        <f t="shared" si="2"/>
        <v>10</v>
      </c>
    </row>
    <row r="26" spans="1:29">
      <c r="B26" s="94" t="s">
        <v>37</v>
      </c>
      <c r="D26" s="25"/>
      <c r="E26" s="26"/>
      <c r="H26" s="94" t="s">
        <v>37</v>
      </c>
      <c r="J26" s="25"/>
      <c r="K26" s="26"/>
      <c r="N26" s="94" t="s">
        <v>37</v>
      </c>
      <c r="P26" s="25"/>
      <c r="Q26" s="26"/>
      <c r="U26" s="16" t="s">
        <v>706</v>
      </c>
      <c r="V26" s="149">
        <v>759</v>
      </c>
      <c r="W26" s="93" t="s">
        <v>152</v>
      </c>
      <c r="X26" s="14">
        <f t="shared" ref="X26:X28" si="15">C20</f>
        <v>8.3000000000000007</v>
      </c>
      <c r="Y26" s="283">
        <f t="shared" si="0"/>
        <v>17</v>
      </c>
      <c r="Z26" s="14">
        <f t="shared" ref="Z26:Z28" si="16">D20</f>
        <v>8.5500000000000007</v>
      </c>
      <c r="AA26" s="283">
        <f t="shared" si="1"/>
        <v>23.999999999999996</v>
      </c>
      <c r="AB26" s="69">
        <f>Table351550535[[#This Row],[Floor4]]+Table351550535[[#This Row],[Vault6]]</f>
        <v>16.850000000000001</v>
      </c>
      <c r="AC26" s="283">
        <f t="shared" si="2"/>
        <v>40</v>
      </c>
    </row>
    <row r="27" spans="1:29">
      <c r="U27" s="16" t="s">
        <v>706</v>
      </c>
      <c r="V27" s="149">
        <v>760</v>
      </c>
      <c r="W27" s="93" t="s">
        <v>737</v>
      </c>
      <c r="X27" s="14">
        <f>C21</f>
        <v>8.9</v>
      </c>
      <c r="Y27" s="283">
        <f t="shared" si="0"/>
        <v>10.999999999999998</v>
      </c>
      <c r="Z27" s="14">
        <f>D21</f>
        <v>8.5500000000000007</v>
      </c>
      <c r="AA27" s="283">
        <f t="shared" si="1"/>
        <v>23.999999999999996</v>
      </c>
      <c r="AB27" s="69">
        <f>Table351550535[[#This Row],[Floor4]]+Table351550535[[#This Row],[Vault6]]</f>
        <v>17.450000000000003</v>
      </c>
      <c r="AC27" s="283">
        <f t="shared" si="2"/>
        <v>30.999999999999996</v>
      </c>
    </row>
    <row r="28" spans="1:29">
      <c r="A28" s="171" t="s">
        <v>965</v>
      </c>
      <c r="B28" s="125"/>
      <c r="C28" s="125"/>
      <c r="D28" s="125"/>
      <c r="E28" s="126"/>
      <c r="F28" s="8"/>
      <c r="G28" s="146" t="s">
        <v>555</v>
      </c>
      <c r="H28" s="125"/>
      <c r="I28" s="125"/>
      <c r="J28" s="125"/>
      <c r="K28" s="126"/>
      <c r="M28" s="333" t="s">
        <v>415</v>
      </c>
      <c r="N28" s="125"/>
      <c r="O28" s="125"/>
      <c r="P28" s="125"/>
      <c r="Q28" s="126"/>
      <c r="U28" s="16" t="s">
        <v>706</v>
      </c>
      <c r="V28" s="149">
        <v>761</v>
      </c>
      <c r="W28" s="93" t="s">
        <v>151</v>
      </c>
      <c r="X28" s="14">
        <f t="shared" si="15"/>
        <v>8.1999999999999993</v>
      </c>
      <c r="Y28" s="283">
        <f t="shared" si="0"/>
        <v>18</v>
      </c>
      <c r="Z28" s="14">
        <f t="shared" si="16"/>
        <v>9.5500000000000007</v>
      </c>
      <c r="AA28" s="283">
        <f t="shared" si="1"/>
        <v>5</v>
      </c>
      <c r="AB28" s="69">
        <f>Table351550535[[#This Row],[Floor4]]+Table351550535[[#This Row],[Vault6]]</f>
        <v>17.75</v>
      </c>
      <c r="AC28" s="283">
        <f t="shared" si="2"/>
        <v>26</v>
      </c>
    </row>
    <row r="29" spans="1:29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  <c r="G29" s="9" t="s">
        <v>1</v>
      </c>
      <c r="H29" s="9" t="s">
        <v>2</v>
      </c>
      <c r="I29" s="9" t="s">
        <v>3</v>
      </c>
      <c r="J29" s="9" t="s">
        <v>4</v>
      </c>
      <c r="K29" s="9" t="s">
        <v>5</v>
      </c>
      <c r="M29" s="9" t="s">
        <v>1</v>
      </c>
      <c r="N29" s="9" t="s">
        <v>2</v>
      </c>
      <c r="O29" s="9" t="s">
        <v>3</v>
      </c>
      <c r="P29" s="9" t="s">
        <v>4</v>
      </c>
      <c r="Q29" s="9" t="s">
        <v>5</v>
      </c>
      <c r="U29" s="16" t="s">
        <v>799</v>
      </c>
      <c r="V29" s="149">
        <v>764</v>
      </c>
      <c r="W29" s="93" t="s">
        <v>351</v>
      </c>
      <c r="X29" s="14">
        <f>I19</f>
        <v>9</v>
      </c>
      <c r="Y29" s="283">
        <f t="shared" si="0"/>
        <v>9.9999999999999964</v>
      </c>
      <c r="Z29" s="14">
        <f>J19</f>
        <v>9.4</v>
      </c>
      <c r="AA29" s="283">
        <f t="shared" si="1"/>
        <v>7.9999999999999991</v>
      </c>
      <c r="AB29" s="69">
        <f>Table351550535[[#This Row],[Floor4]]+Table351550535[[#This Row],[Vault6]]</f>
        <v>18.399999999999999</v>
      </c>
      <c r="AC29" s="283">
        <f t="shared" si="2"/>
        <v>16</v>
      </c>
    </row>
    <row r="30" spans="1:29">
      <c r="A30" s="149">
        <v>776</v>
      </c>
      <c r="B30" s="93" t="s">
        <v>163</v>
      </c>
      <c r="C30" s="13">
        <v>8.8000000000000007</v>
      </c>
      <c r="D30" s="13">
        <v>9.6999999999999993</v>
      </c>
      <c r="E30" s="13">
        <f>SUM(C30,D30)</f>
        <v>18.5</v>
      </c>
      <c r="G30" s="149">
        <v>782</v>
      </c>
      <c r="H30" s="93" t="s">
        <v>996</v>
      </c>
      <c r="I30" s="13">
        <v>8.1</v>
      </c>
      <c r="J30" s="13">
        <v>8.5</v>
      </c>
      <c r="K30" s="13">
        <f>SUM(I30,J30)</f>
        <v>16.600000000000001</v>
      </c>
      <c r="M30" s="149">
        <v>788</v>
      </c>
      <c r="N30" s="93" t="s">
        <v>422</v>
      </c>
      <c r="O30" s="13">
        <v>9.4</v>
      </c>
      <c r="P30" s="13">
        <v>9.6999999999999993</v>
      </c>
      <c r="Q30" s="13">
        <f>SUM(O30,P30)</f>
        <v>19.100000000000001</v>
      </c>
      <c r="U30" s="16" t="s">
        <v>799</v>
      </c>
      <c r="V30" s="149">
        <v>765</v>
      </c>
      <c r="W30" s="93" t="s">
        <v>352</v>
      </c>
      <c r="X30" s="14">
        <f t="shared" ref="X30:X31" si="17">I20</f>
        <v>9.9</v>
      </c>
      <c r="Y30" s="283">
        <f t="shared" si="0"/>
        <v>1</v>
      </c>
      <c r="Z30" s="14">
        <f t="shared" ref="Z30:Z33" si="18">J20</f>
        <v>9.3000000000000007</v>
      </c>
      <c r="AA30" s="283">
        <f t="shared" si="1"/>
        <v>10</v>
      </c>
      <c r="AB30" s="69">
        <f>Table351550535[[#This Row],[Floor4]]+Table351550535[[#This Row],[Vault6]]</f>
        <v>19.200000000000003</v>
      </c>
      <c r="AC30" s="283">
        <f t="shared" si="2"/>
        <v>4</v>
      </c>
    </row>
    <row r="31" spans="1:29">
      <c r="A31" s="149">
        <v>777</v>
      </c>
      <c r="B31" s="93" t="s">
        <v>966</v>
      </c>
      <c r="C31" s="13">
        <v>8.8000000000000007</v>
      </c>
      <c r="D31" s="13">
        <v>9.6</v>
      </c>
      <c r="E31" s="13">
        <f t="shared" ref="E31:E35" si="19">SUM(C31,D31)</f>
        <v>18.399999999999999</v>
      </c>
      <c r="G31" s="149">
        <v>783</v>
      </c>
      <c r="H31" s="93" t="s">
        <v>997</v>
      </c>
      <c r="I31" s="13">
        <v>6.6</v>
      </c>
      <c r="J31" s="13">
        <v>9.3000000000000007</v>
      </c>
      <c r="K31" s="13">
        <f t="shared" ref="K31:K35" si="20">SUM(I31,J31)</f>
        <v>15.9</v>
      </c>
      <c r="M31" s="149">
        <v>789</v>
      </c>
      <c r="N31" s="93" t="s">
        <v>425</v>
      </c>
      <c r="O31" s="13">
        <v>9.1999999999999993</v>
      </c>
      <c r="P31" s="13">
        <v>9.35</v>
      </c>
      <c r="Q31" s="13">
        <f t="shared" ref="Q31:Q35" si="21">SUM(O31,P31)</f>
        <v>18.549999999999997</v>
      </c>
      <c r="U31" s="16" t="s">
        <v>799</v>
      </c>
      <c r="V31" s="149">
        <v>766</v>
      </c>
      <c r="W31" s="93" t="s">
        <v>345</v>
      </c>
      <c r="X31" s="14">
        <f t="shared" si="17"/>
        <v>9</v>
      </c>
      <c r="Y31" s="283">
        <f t="shared" si="0"/>
        <v>9.9999999999999964</v>
      </c>
      <c r="Z31" s="14">
        <f t="shared" si="18"/>
        <v>9.5</v>
      </c>
      <c r="AA31" s="283">
        <f t="shared" si="1"/>
        <v>6</v>
      </c>
      <c r="AB31" s="69">
        <f>Table351550535[[#This Row],[Floor4]]+Table351550535[[#This Row],[Vault6]]</f>
        <v>18.5</v>
      </c>
      <c r="AC31" s="283">
        <f t="shared" si="2"/>
        <v>14</v>
      </c>
    </row>
    <row r="32" spans="1:29">
      <c r="A32" s="149">
        <v>778</v>
      </c>
      <c r="B32" s="93" t="s">
        <v>967</v>
      </c>
      <c r="C32" s="13">
        <v>8.4</v>
      </c>
      <c r="D32" s="13">
        <v>8.6999999999999993</v>
      </c>
      <c r="E32" s="13">
        <f t="shared" si="19"/>
        <v>17.100000000000001</v>
      </c>
      <c r="G32" s="149">
        <v>784</v>
      </c>
      <c r="H32" s="93" t="s">
        <v>384</v>
      </c>
      <c r="I32" s="13">
        <v>9</v>
      </c>
      <c r="J32" s="13">
        <v>9.6</v>
      </c>
      <c r="K32" s="13">
        <f t="shared" si="20"/>
        <v>18.600000000000001</v>
      </c>
      <c r="M32" s="396">
        <v>790</v>
      </c>
      <c r="N32" s="397" t="s">
        <v>424</v>
      </c>
      <c r="O32" s="398">
        <v>0</v>
      </c>
      <c r="P32" s="398">
        <v>0</v>
      </c>
      <c r="Q32" s="398">
        <f t="shared" si="21"/>
        <v>0</v>
      </c>
      <c r="U32" s="16" t="s">
        <v>799</v>
      </c>
      <c r="V32" s="149">
        <v>767</v>
      </c>
      <c r="W32" s="93" t="s">
        <v>353</v>
      </c>
      <c r="X32" s="14">
        <f>I22</f>
        <v>9.8000000000000007</v>
      </c>
      <c r="Y32" s="283">
        <f t="shared" si="0"/>
        <v>2</v>
      </c>
      <c r="Z32" s="14">
        <f t="shared" si="18"/>
        <v>9.5500000000000007</v>
      </c>
      <c r="AA32" s="283">
        <f t="shared" si="1"/>
        <v>5</v>
      </c>
      <c r="AB32" s="69">
        <f>Table351550535[[#This Row],[Floor4]]+Table351550535[[#This Row],[Vault6]]</f>
        <v>19.350000000000001</v>
      </c>
      <c r="AC32" s="283">
        <f t="shared" si="2"/>
        <v>3</v>
      </c>
    </row>
    <row r="33" spans="1:29">
      <c r="A33" s="149">
        <v>779</v>
      </c>
      <c r="B33" s="93" t="s">
        <v>968</v>
      </c>
      <c r="C33" s="13">
        <v>9.9</v>
      </c>
      <c r="D33" s="13">
        <v>9.6999999999999993</v>
      </c>
      <c r="E33" s="13">
        <f t="shared" si="19"/>
        <v>19.600000000000001</v>
      </c>
      <c r="G33" s="149">
        <v>785</v>
      </c>
      <c r="H33" s="93" t="s">
        <v>998</v>
      </c>
      <c r="I33" s="13">
        <v>8</v>
      </c>
      <c r="J33" s="13">
        <v>8.5500000000000007</v>
      </c>
      <c r="K33" s="13">
        <f t="shared" si="20"/>
        <v>16.55</v>
      </c>
      <c r="M33" s="149">
        <v>791</v>
      </c>
      <c r="N33" s="93" t="s">
        <v>426</v>
      </c>
      <c r="O33" s="13">
        <v>9.8000000000000007</v>
      </c>
      <c r="P33" s="13">
        <v>9.15</v>
      </c>
      <c r="Q33" s="13">
        <f t="shared" si="21"/>
        <v>18.950000000000003</v>
      </c>
      <c r="U33" s="16" t="s">
        <v>799</v>
      </c>
      <c r="V33" s="149">
        <v>768</v>
      </c>
      <c r="W33" s="93" t="s">
        <v>348</v>
      </c>
      <c r="X33" s="14">
        <f>I23</f>
        <v>9.6999999999999993</v>
      </c>
      <c r="Y33" s="283">
        <f t="shared" si="0"/>
        <v>3</v>
      </c>
      <c r="Z33" s="14">
        <f t="shared" si="18"/>
        <v>9.4</v>
      </c>
      <c r="AA33" s="283">
        <f t="shared" si="1"/>
        <v>7.9999999999999991</v>
      </c>
      <c r="AB33" s="69">
        <f>Table351550535[[#This Row],[Floor4]]+Table351550535[[#This Row],[Vault6]]</f>
        <v>19.100000000000001</v>
      </c>
      <c r="AC33" s="283">
        <f t="shared" si="2"/>
        <v>5</v>
      </c>
    </row>
    <row r="34" spans="1:29">
      <c r="A34" s="149">
        <v>780</v>
      </c>
      <c r="B34" s="93" t="s">
        <v>969</v>
      </c>
      <c r="C34" s="13">
        <v>8.9</v>
      </c>
      <c r="D34" s="13">
        <v>8.4</v>
      </c>
      <c r="E34" s="13">
        <f t="shared" si="19"/>
        <v>17.3</v>
      </c>
      <c r="G34" s="149">
        <v>786</v>
      </c>
      <c r="H34" s="97"/>
      <c r="I34" s="13">
        <v>0</v>
      </c>
      <c r="J34" s="13">
        <v>0</v>
      </c>
      <c r="K34" s="13">
        <f t="shared" si="20"/>
        <v>0</v>
      </c>
      <c r="M34" s="149">
        <v>792</v>
      </c>
      <c r="N34" s="93" t="s">
        <v>410</v>
      </c>
      <c r="O34" s="13">
        <v>9.6</v>
      </c>
      <c r="P34" s="13">
        <v>9.25</v>
      </c>
      <c r="Q34" s="13">
        <f t="shared" si="21"/>
        <v>18.850000000000001</v>
      </c>
      <c r="U34" s="16" t="s">
        <v>99</v>
      </c>
      <c r="V34" s="149">
        <v>820</v>
      </c>
      <c r="W34" s="93" t="s">
        <v>879</v>
      </c>
      <c r="X34" s="14">
        <f>I57</f>
        <v>9</v>
      </c>
      <c r="Y34" s="283">
        <f t="shared" si="0"/>
        <v>9.9999999999999964</v>
      </c>
      <c r="Z34" s="14">
        <f>J57</f>
        <v>8.8000000000000007</v>
      </c>
      <c r="AA34" s="283">
        <f t="shared" si="1"/>
        <v>20</v>
      </c>
      <c r="AB34" s="69">
        <f>Table351550535[[#This Row],[Floor4]]+Table351550535[[#This Row],[Vault6]]</f>
        <v>17.8</v>
      </c>
      <c r="AC34" s="283">
        <f t="shared" si="2"/>
        <v>25</v>
      </c>
    </row>
    <row r="35" spans="1:29" ht="16.5" thickBot="1">
      <c r="A35" s="149">
        <v>781</v>
      </c>
      <c r="B35" s="93" t="s">
        <v>970</v>
      </c>
      <c r="C35" s="13">
        <v>8</v>
      </c>
      <c r="D35" s="13">
        <v>8.5500000000000007</v>
      </c>
      <c r="E35" s="13">
        <f t="shared" si="19"/>
        <v>16.55</v>
      </c>
      <c r="F35" s="8"/>
      <c r="G35" s="149">
        <v>787</v>
      </c>
      <c r="H35" s="97"/>
      <c r="I35" s="13">
        <v>0</v>
      </c>
      <c r="J35" s="13">
        <v>0</v>
      </c>
      <c r="K35" s="13">
        <f t="shared" si="20"/>
        <v>0</v>
      </c>
      <c r="M35" s="149">
        <v>793</v>
      </c>
      <c r="N35" s="93" t="s">
        <v>413</v>
      </c>
      <c r="O35" s="13">
        <v>9.3000000000000007</v>
      </c>
      <c r="P35" s="13">
        <v>9.1</v>
      </c>
      <c r="Q35" s="13">
        <f t="shared" si="21"/>
        <v>18.399999999999999</v>
      </c>
      <c r="U35" s="16" t="s">
        <v>99</v>
      </c>
      <c r="V35" s="149">
        <v>772</v>
      </c>
      <c r="W35" s="93" t="s">
        <v>367</v>
      </c>
      <c r="X35" s="14">
        <f>O21</f>
        <v>9.1</v>
      </c>
      <c r="Y35" s="283">
        <f t="shared" si="0"/>
        <v>8.9999999999999964</v>
      </c>
      <c r="Z35" s="14">
        <f>P21</f>
        <v>9</v>
      </c>
      <c r="AA35" s="283">
        <f t="shared" si="1"/>
        <v>16</v>
      </c>
      <c r="AB35" s="69">
        <f>Table351550535[[#This Row],[Floor4]]+Table351550535[[#This Row],[Vault6]]</f>
        <v>18.100000000000001</v>
      </c>
      <c r="AC35" s="283">
        <f t="shared" si="2"/>
        <v>20</v>
      </c>
    </row>
    <row r="36" spans="1:29" ht="16.5" thickBot="1">
      <c r="B36" s="25" t="s">
        <v>10</v>
      </c>
      <c r="C36" s="19">
        <f>SUM(C30:C35)-SMALL(C30:C35,1)-SMALL(C30:C35,2)</f>
        <v>36.4</v>
      </c>
      <c r="D36" s="19">
        <f>SUM(D30:D35)-SMALL(D30:D35,1)-SMALL(D30:D35,2)</f>
        <v>37.699999999999989</v>
      </c>
      <c r="E36" s="20">
        <f>SUM(C36:D36)</f>
        <v>74.099999999999994</v>
      </c>
      <c r="F36" s="8"/>
      <c r="H36" s="25" t="s">
        <v>10</v>
      </c>
      <c r="I36" s="19">
        <f>SUM(I30:I35)-SMALL(I30:I35,1)-SMALL(I30:I35,2)</f>
        <v>31.7</v>
      </c>
      <c r="J36" s="19">
        <f>SUM(J30:J35)-SMALL(J30:J35,1)-SMALL(J30:J35,2)</f>
        <v>35.950000000000003</v>
      </c>
      <c r="K36" s="20">
        <f>SUM(I36:J36)</f>
        <v>67.650000000000006</v>
      </c>
      <c r="N36" s="25" t="s">
        <v>10</v>
      </c>
      <c r="O36" s="19">
        <f>SUM(O30:O35)-SMALL(O30:O35,1)-SMALL(O30:O35,2)</f>
        <v>38.099999999999994</v>
      </c>
      <c r="P36" s="19">
        <f>SUM(P30:P35)-SMALL(P30:P35,1)-SMALL(P30:P35,2)</f>
        <v>37.449999999999996</v>
      </c>
      <c r="Q36" s="20">
        <f>SUM(O36:P36)</f>
        <v>75.549999999999983</v>
      </c>
      <c r="U36" s="16" t="s">
        <v>99</v>
      </c>
      <c r="V36" s="149">
        <v>770</v>
      </c>
      <c r="W36" s="93" t="s">
        <v>160</v>
      </c>
      <c r="X36" s="14">
        <f>O19</f>
        <v>9.5</v>
      </c>
      <c r="Y36" s="283">
        <f t="shared" si="0"/>
        <v>5</v>
      </c>
      <c r="Z36" s="14">
        <f>P19</f>
        <v>9</v>
      </c>
      <c r="AA36" s="283">
        <f t="shared" si="1"/>
        <v>16</v>
      </c>
      <c r="AB36" s="69">
        <f>Table351550535[[#This Row],[Floor4]]+Table351550535[[#This Row],[Vault6]]</f>
        <v>18.5</v>
      </c>
      <c r="AC36" s="283">
        <f t="shared" si="2"/>
        <v>14</v>
      </c>
    </row>
    <row r="37" spans="1:29">
      <c r="B37" s="94" t="s">
        <v>37</v>
      </c>
      <c r="D37" s="25"/>
      <c r="E37" s="26"/>
      <c r="H37" s="94" t="s">
        <v>37</v>
      </c>
      <c r="J37" s="25"/>
      <c r="K37" s="26"/>
      <c r="N37" s="94" t="s">
        <v>37</v>
      </c>
      <c r="P37" s="25"/>
      <c r="Q37" s="26"/>
      <c r="U37" s="16" t="s">
        <v>99</v>
      </c>
      <c r="V37" s="149">
        <v>771</v>
      </c>
      <c r="W37" s="93" t="s">
        <v>98</v>
      </c>
      <c r="X37" s="14">
        <f>O20</f>
        <v>9.8000000000000007</v>
      </c>
      <c r="Y37" s="283">
        <f t="shared" si="0"/>
        <v>2</v>
      </c>
      <c r="Z37" s="14">
        <f>P20</f>
        <v>9.15</v>
      </c>
      <c r="AA37" s="283">
        <f t="shared" si="1"/>
        <v>13.000000000000002</v>
      </c>
      <c r="AB37" s="69">
        <f>Table351550535[[#This Row],[Floor4]]+Table351550535[[#This Row],[Vault6]]</f>
        <v>18.950000000000003</v>
      </c>
      <c r="AC37" s="283">
        <f t="shared" si="2"/>
        <v>6</v>
      </c>
    </row>
    <row r="38" spans="1:29">
      <c r="U38" s="16" t="s">
        <v>99</v>
      </c>
      <c r="V38" s="149">
        <v>773</v>
      </c>
      <c r="W38" s="93" t="s">
        <v>161</v>
      </c>
      <c r="X38" s="14">
        <f>O22</f>
        <v>9</v>
      </c>
      <c r="Y38" s="283">
        <f t="shared" si="0"/>
        <v>9.9999999999999964</v>
      </c>
      <c r="Z38" s="14">
        <f>P22</f>
        <v>8.9499999999999993</v>
      </c>
      <c r="AA38" s="283">
        <f t="shared" si="1"/>
        <v>17</v>
      </c>
      <c r="AB38" s="69">
        <f>Table351550535[[#This Row],[Floor4]]+Table351550535[[#This Row],[Vault6]]</f>
        <v>17.95</v>
      </c>
      <c r="AC38" s="283">
        <f t="shared" si="2"/>
        <v>23</v>
      </c>
    </row>
    <row r="39" spans="1:29">
      <c r="A39" s="333" t="s">
        <v>416</v>
      </c>
      <c r="B39" s="125"/>
      <c r="C39" s="125"/>
      <c r="D39" s="125"/>
      <c r="E39" s="126"/>
      <c r="F39" s="8"/>
      <c r="G39" s="333" t="s">
        <v>164</v>
      </c>
      <c r="H39" s="125"/>
      <c r="I39" s="125"/>
      <c r="J39" s="125"/>
      <c r="K39" s="126"/>
      <c r="M39" s="333" t="s">
        <v>171</v>
      </c>
      <c r="N39" s="223"/>
      <c r="O39" s="223"/>
      <c r="P39" s="223"/>
      <c r="Q39" s="224"/>
      <c r="U39" s="16" t="s">
        <v>99</v>
      </c>
      <c r="V39" s="149">
        <v>774</v>
      </c>
      <c r="W39" s="93" t="s">
        <v>880</v>
      </c>
      <c r="X39" s="14">
        <f t="shared" ref="X39:X40" si="22">O23</f>
        <v>8.9</v>
      </c>
      <c r="Y39" s="283">
        <f t="shared" ref="Y39:Y70" si="23">SUMPRODUCT((X$7:X$86&gt;X39)/COUNTIF(X$7:X$86,X$7:X$86&amp;""))+1</f>
        <v>10.999999999999998</v>
      </c>
      <c r="Z39" s="14">
        <f>P23</f>
        <v>9.15</v>
      </c>
      <c r="AA39" s="283">
        <f t="shared" ref="AA39:AA70" si="24">SUMPRODUCT((Z$7:Z$86&gt;Z39)/COUNTIF(Z$7:Z$86,Z$7:Z$86&amp;""))+1</f>
        <v>13.000000000000002</v>
      </c>
      <c r="AB39" s="69">
        <f>Table351550535[[#This Row],[Floor4]]+Table351550535[[#This Row],[Vault6]]</f>
        <v>18.05</v>
      </c>
      <c r="AC39" s="283">
        <f t="shared" ref="AC39:AC70" si="25">SUMPRODUCT((AB$7:AB$86&gt;AB39)/COUNTIF(AB$7:AB$86,AB$7:AB$86&amp;""))+1</f>
        <v>21</v>
      </c>
    </row>
    <row r="40" spans="1:29">
      <c r="A40" s="9" t="s">
        <v>1</v>
      </c>
      <c r="B40" s="9" t="s">
        <v>2</v>
      </c>
      <c r="C40" s="9" t="s">
        <v>3</v>
      </c>
      <c r="D40" s="9" t="s">
        <v>4</v>
      </c>
      <c r="E40" s="9" t="s">
        <v>5</v>
      </c>
      <c r="G40" s="9" t="s">
        <v>1</v>
      </c>
      <c r="H40" s="9" t="s">
        <v>2</v>
      </c>
      <c r="I40" s="9" t="s">
        <v>3</v>
      </c>
      <c r="J40" s="9" t="s">
        <v>4</v>
      </c>
      <c r="K40" s="9" t="s">
        <v>5</v>
      </c>
      <c r="M40" s="9" t="s">
        <v>1</v>
      </c>
      <c r="N40" s="9" t="s">
        <v>2</v>
      </c>
      <c r="O40" s="9" t="s">
        <v>3</v>
      </c>
      <c r="P40" s="9" t="s">
        <v>4</v>
      </c>
      <c r="Q40" s="9" t="s">
        <v>5</v>
      </c>
      <c r="U40" s="16" t="s">
        <v>99</v>
      </c>
      <c r="V40" s="149">
        <v>775</v>
      </c>
      <c r="W40" s="100" t="s">
        <v>368</v>
      </c>
      <c r="X40" s="14">
        <f t="shared" si="22"/>
        <v>9.1999999999999993</v>
      </c>
      <c r="Y40" s="283">
        <f t="shared" si="23"/>
        <v>7.9999999999999991</v>
      </c>
      <c r="Z40" s="14">
        <f t="shared" ref="Z40" si="26">P24</f>
        <v>8.4499999999999993</v>
      </c>
      <c r="AA40" s="283">
        <f t="shared" si="24"/>
        <v>25.999999999999993</v>
      </c>
      <c r="AB40" s="69">
        <f>Table351550535[[#This Row],[Floor4]]+Table351550535[[#This Row],[Vault6]]</f>
        <v>17.649999999999999</v>
      </c>
      <c r="AC40" s="283">
        <f t="shared" si="25"/>
        <v>26.999999999999996</v>
      </c>
    </row>
    <row r="41" spans="1:29">
      <c r="A41" s="149">
        <v>794</v>
      </c>
      <c r="B41" s="93" t="s">
        <v>401</v>
      </c>
      <c r="C41" s="13">
        <v>9.1</v>
      </c>
      <c r="D41" s="13">
        <v>9</v>
      </c>
      <c r="E41" s="13">
        <f>SUM(C41,D41)</f>
        <v>18.100000000000001</v>
      </c>
      <c r="G41" s="396">
        <v>800</v>
      </c>
      <c r="H41" s="397" t="s">
        <v>1360</v>
      </c>
      <c r="I41" s="398">
        <v>0</v>
      </c>
      <c r="J41" s="398">
        <v>0</v>
      </c>
      <c r="K41" s="398">
        <f>SUM(I41,J41)</f>
        <v>0</v>
      </c>
      <c r="M41" s="149">
        <v>806</v>
      </c>
      <c r="N41" s="93" t="s">
        <v>1159</v>
      </c>
      <c r="O41" s="13">
        <v>8.5</v>
      </c>
      <c r="P41" s="13">
        <v>9.15</v>
      </c>
      <c r="Q41" s="13">
        <f>SUM(O41,P41)</f>
        <v>17.649999999999999</v>
      </c>
      <c r="U41" s="16" t="s">
        <v>909</v>
      </c>
      <c r="V41" s="149">
        <v>822</v>
      </c>
      <c r="W41" s="93" t="s">
        <v>906</v>
      </c>
      <c r="X41" s="14">
        <f>C63</f>
        <v>9.1999999999999993</v>
      </c>
      <c r="Y41" s="283">
        <f t="shared" si="23"/>
        <v>7.9999999999999991</v>
      </c>
      <c r="Z41" s="14">
        <f>D63</f>
        <v>8.9</v>
      </c>
      <c r="AA41" s="283">
        <f t="shared" si="24"/>
        <v>18</v>
      </c>
      <c r="AB41" s="69">
        <f>Table351550535[[#This Row],[Floor4]]+Table351550535[[#This Row],[Vault6]]</f>
        <v>18.100000000000001</v>
      </c>
      <c r="AC41" s="283">
        <f t="shared" si="25"/>
        <v>20</v>
      </c>
    </row>
    <row r="42" spans="1:29">
      <c r="A42" s="149">
        <v>795</v>
      </c>
      <c r="B42" s="97"/>
      <c r="C42" s="13">
        <v>0</v>
      </c>
      <c r="D42" s="13">
        <v>0</v>
      </c>
      <c r="E42" s="13">
        <f t="shared" ref="E42:E46" si="27">SUM(C42,D42)</f>
        <v>0</v>
      </c>
      <c r="G42" s="149">
        <v>801</v>
      </c>
      <c r="H42" s="93" t="s">
        <v>464</v>
      </c>
      <c r="I42" s="13">
        <v>7.8</v>
      </c>
      <c r="J42" s="13">
        <v>8.5500000000000007</v>
      </c>
      <c r="K42" s="13">
        <f t="shared" ref="K42:K46" si="28">SUM(I42,J42)</f>
        <v>16.350000000000001</v>
      </c>
      <c r="M42" s="149">
        <v>807</v>
      </c>
      <c r="N42" s="93" t="s">
        <v>1160</v>
      </c>
      <c r="O42" s="13">
        <v>9.1999999999999993</v>
      </c>
      <c r="P42" s="13">
        <v>8.4</v>
      </c>
      <c r="Q42" s="13">
        <f t="shared" ref="Q42:Q46" si="29">SUM(O42,P42)</f>
        <v>17.600000000000001</v>
      </c>
      <c r="U42" s="16" t="s">
        <v>909</v>
      </c>
      <c r="V42" s="149">
        <v>823</v>
      </c>
      <c r="W42" s="93" t="s">
        <v>907</v>
      </c>
      <c r="X42" s="14">
        <f>C64</f>
        <v>8.9</v>
      </c>
      <c r="Y42" s="283">
        <f t="shared" si="23"/>
        <v>10.999999999999998</v>
      </c>
      <c r="Z42" s="14">
        <f>D64</f>
        <v>8.9</v>
      </c>
      <c r="AA42" s="283">
        <f t="shared" si="24"/>
        <v>18</v>
      </c>
      <c r="AB42" s="69">
        <f>Table351550535[[#This Row],[Floor4]]+Table351550535[[#This Row],[Vault6]]</f>
        <v>17.8</v>
      </c>
      <c r="AC42" s="283">
        <f t="shared" si="25"/>
        <v>25</v>
      </c>
    </row>
    <row r="43" spans="1:29">
      <c r="A43" s="149">
        <v>796</v>
      </c>
      <c r="B43" s="93" t="s">
        <v>402</v>
      </c>
      <c r="C43" s="13">
        <v>8.9</v>
      </c>
      <c r="D43" s="13">
        <v>9.4</v>
      </c>
      <c r="E43" s="13">
        <f t="shared" si="27"/>
        <v>18.3</v>
      </c>
      <c r="G43" s="149">
        <v>802</v>
      </c>
      <c r="H43" s="240" t="s">
        <v>1359</v>
      </c>
      <c r="I43" s="13">
        <v>8.6</v>
      </c>
      <c r="J43" s="13">
        <v>8.65</v>
      </c>
      <c r="K43" s="13">
        <f t="shared" si="28"/>
        <v>17.25</v>
      </c>
      <c r="M43" s="149">
        <v>808</v>
      </c>
      <c r="N43" s="93" t="s">
        <v>1161</v>
      </c>
      <c r="O43" s="13">
        <v>8.6999999999999993</v>
      </c>
      <c r="P43" s="13">
        <v>9.5</v>
      </c>
      <c r="Q43" s="13">
        <f t="shared" si="29"/>
        <v>18.2</v>
      </c>
      <c r="U43" s="16" t="s">
        <v>909</v>
      </c>
      <c r="V43" s="149">
        <v>824</v>
      </c>
      <c r="W43" s="93" t="s">
        <v>908</v>
      </c>
      <c r="X43" s="14">
        <f t="shared" ref="X43" si="30">C65</f>
        <v>8.9</v>
      </c>
      <c r="Y43" s="283">
        <f t="shared" si="23"/>
        <v>10.999999999999998</v>
      </c>
      <c r="Z43" s="14">
        <f t="shared" ref="Z43" si="31">D65</f>
        <v>9.0500000000000007</v>
      </c>
      <c r="AA43" s="283">
        <f t="shared" si="24"/>
        <v>15</v>
      </c>
      <c r="AB43" s="69">
        <f>Table351550535[[#This Row],[Floor4]]+Table351550535[[#This Row],[Vault6]]</f>
        <v>17.950000000000003</v>
      </c>
      <c r="AC43" s="283">
        <f t="shared" si="25"/>
        <v>23</v>
      </c>
    </row>
    <row r="44" spans="1:29">
      <c r="A44" s="396">
        <v>797</v>
      </c>
      <c r="B44" s="397" t="s">
        <v>393</v>
      </c>
      <c r="C44" s="398">
        <v>0</v>
      </c>
      <c r="D44" s="398">
        <v>0</v>
      </c>
      <c r="E44" s="398">
        <f t="shared" si="27"/>
        <v>0</v>
      </c>
      <c r="G44" s="149">
        <v>803</v>
      </c>
      <c r="H44" s="93" t="s">
        <v>462</v>
      </c>
      <c r="I44" s="13">
        <v>8.6999999999999993</v>
      </c>
      <c r="J44" s="13">
        <v>8.6999999999999993</v>
      </c>
      <c r="K44" s="13">
        <f t="shared" si="28"/>
        <v>17.399999999999999</v>
      </c>
      <c r="M44" s="149">
        <v>809</v>
      </c>
      <c r="N44" s="93" t="s">
        <v>1162</v>
      </c>
      <c r="O44" s="13">
        <v>8.6999999999999993</v>
      </c>
      <c r="P44" s="13">
        <v>9.4</v>
      </c>
      <c r="Q44" s="13">
        <f t="shared" si="29"/>
        <v>18.100000000000001</v>
      </c>
      <c r="U44" s="16" t="s">
        <v>917</v>
      </c>
      <c r="V44" s="149">
        <v>825</v>
      </c>
      <c r="W44" s="16" t="s">
        <v>939</v>
      </c>
      <c r="X44" s="14">
        <f>I63</f>
        <v>9</v>
      </c>
      <c r="Y44" s="283">
        <f t="shared" si="23"/>
        <v>9.9999999999999964</v>
      </c>
      <c r="Z44" s="14">
        <f>J63</f>
        <v>9.4499999999999993</v>
      </c>
      <c r="AA44" s="283">
        <f t="shared" si="24"/>
        <v>7</v>
      </c>
      <c r="AB44" s="69">
        <f>Table351550535[[#This Row],[Floor4]]+Table351550535[[#This Row],[Vault6]]</f>
        <v>18.45</v>
      </c>
      <c r="AC44" s="283">
        <f t="shared" si="25"/>
        <v>15</v>
      </c>
    </row>
    <row r="45" spans="1:29">
      <c r="A45" s="149">
        <v>798</v>
      </c>
      <c r="B45" s="93" t="s">
        <v>423</v>
      </c>
      <c r="C45" s="13">
        <v>9.9</v>
      </c>
      <c r="D45" s="13">
        <v>9.3000000000000007</v>
      </c>
      <c r="E45" s="13">
        <f t="shared" si="27"/>
        <v>19.200000000000003</v>
      </c>
      <c r="G45" s="396">
        <v>804</v>
      </c>
      <c r="H45" s="397" t="s">
        <v>1116</v>
      </c>
      <c r="I45" s="398">
        <v>0</v>
      </c>
      <c r="J45" s="398">
        <v>0</v>
      </c>
      <c r="K45" s="398">
        <f t="shared" si="28"/>
        <v>0</v>
      </c>
      <c r="M45" s="149">
        <v>810</v>
      </c>
      <c r="N45" s="97"/>
      <c r="O45" s="13">
        <v>0</v>
      </c>
      <c r="P45" s="13">
        <v>0</v>
      </c>
      <c r="Q45" s="13">
        <f t="shared" si="29"/>
        <v>0</v>
      </c>
      <c r="U45" s="16" t="s">
        <v>223</v>
      </c>
      <c r="V45" s="149">
        <v>776</v>
      </c>
      <c r="W45" s="93" t="s">
        <v>163</v>
      </c>
      <c r="X45" s="14">
        <f>C30</f>
        <v>8.8000000000000007</v>
      </c>
      <c r="Y45" s="283">
        <f t="shared" si="23"/>
        <v>11.999999999999998</v>
      </c>
      <c r="Z45" s="14">
        <f>D30</f>
        <v>9.6999999999999993</v>
      </c>
      <c r="AA45" s="283">
        <f t="shared" si="24"/>
        <v>2</v>
      </c>
      <c r="AB45" s="69">
        <f>Table351550535[[#This Row],[Floor4]]+Table351550535[[#This Row],[Vault6]]</f>
        <v>18.5</v>
      </c>
      <c r="AC45" s="283">
        <f t="shared" si="25"/>
        <v>14</v>
      </c>
    </row>
    <row r="46" spans="1:29" ht="16.5" thickBot="1">
      <c r="A46" s="149">
        <v>799</v>
      </c>
      <c r="B46" s="93" t="s">
        <v>1030</v>
      </c>
      <c r="C46" s="13">
        <v>9</v>
      </c>
      <c r="D46" s="13">
        <v>8.5</v>
      </c>
      <c r="E46" s="13">
        <f t="shared" si="27"/>
        <v>17.5</v>
      </c>
      <c r="F46" s="8"/>
      <c r="G46" s="396">
        <v>805</v>
      </c>
      <c r="H46" s="397" t="s">
        <v>1117</v>
      </c>
      <c r="I46" s="398">
        <v>0</v>
      </c>
      <c r="J46" s="398">
        <v>0</v>
      </c>
      <c r="K46" s="398">
        <f t="shared" si="28"/>
        <v>0</v>
      </c>
      <c r="M46" s="149">
        <v>811</v>
      </c>
      <c r="N46" s="97"/>
      <c r="O46" s="13">
        <v>0</v>
      </c>
      <c r="P46" s="13">
        <v>0</v>
      </c>
      <c r="Q46" s="13">
        <f t="shared" si="29"/>
        <v>0</v>
      </c>
      <c r="U46" s="16" t="s">
        <v>223</v>
      </c>
      <c r="V46" s="149">
        <v>777</v>
      </c>
      <c r="W46" s="93" t="s">
        <v>966</v>
      </c>
      <c r="X46" s="14">
        <f t="shared" ref="X46:X50" si="32">C31</f>
        <v>8.8000000000000007</v>
      </c>
      <c r="Y46" s="283">
        <f t="shared" si="23"/>
        <v>11.999999999999998</v>
      </c>
      <c r="Z46" s="14">
        <f t="shared" ref="Z46:Z49" si="33">D31</f>
        <v>9.6</v>
      </c>
      <c r="AA46" s="283">
        <f t="shared" si="24"/>
        <v>4</v>
      </c>
      <c r="AB46" s="69">
        <f>Table351550535[[#This Row],[Floor4]]+Table351550535[[#This Row],[Vault6]]</f>
        <v>18.399999999999999</v>
      </c>
      <c r="AC46" s="283">
        <f t="shared" si="25"/>
        <v>16</v>
      </c>
    </row>
    <row r="47" spans="1:29" ht="16.5" thickBot="1">
      <c r="B47" s="25" t="s">
        <v>10</v>
      </c>
      <c r="C47" s="19">
        <f>SUM(C41:C46)-SMALL(C41:C46,1)-SMALL(C41:C46,2)</f>
        <v>36.9</v>
      </c>
      <c r="D47" s="19">
        <f>SUM(D41:D46)-SMALL(D41:D46,1)-SMALL(D41:D46,2)</f>
        <v>36.200000000000003</v>
      </c>
      <c r="E47" s="20">
        <f>SUM(C47:D47)</f>
        <v>73.099999999999994</v>
      </c>
      <c r="F47" s="8"/>
      <c r="H47" s="25" t="s">
        <v>10</v>
      </c>
      <c r="I47" s="19">
        <f>SUM(I41:I46)-SMALL(I41:I46,1)-SMALL(I41:I46,2)</f>
        <v>25.099999999999998</v>
      </c>
      <c r="J47" s="19">
        <f>SUM(J41:J46)-SMALL(J41:J46,1)-SMALL(J41:J46,2)</f>
        <v>25.900000000000002</v>
      </c>
      <c r="K47" s="20">
        <f>SUM(I47:J47)</f>
        <v>51</v>
      </c>
      <c r="N47" s="25" t="s">
        <v>10</v>
      </c>
      <c r="O47" s="19">
        <f>SUM(O41:O46)-SMALL(O41:O46,1)-SMALL(O41:O46,2)</f>
        <v>35.099999999999994</v>
      </c>
      <c r="P47" s="19">
        <f>SUM(P41:P46)-SMALL(P41:P46,1)-SMALL(P41:P46,2)</f>
        <v>36.450000000000003</v>
      </c>
      <c r="Q47" s="20">
        <f>SUM(O47:P47)</f>
        <v>71.55</v>
      </c>
      <c r="U47" s="16" t="s">
        <v>223</v>
      </c>
      <c r="V47" s="149">
        <v>778</v>
      </c>
      <c r="W47" s="93" t="s">
        <v>967</v>
      </c>
      <c r="X47" s="14">
        <f t="shared" si="32"/>
        <v>8.4</v>
      </c>
      <c r="Y47" s="283">
        <f t="shared" si="23"/>
        <v>15.999999999999998</v>
      </c>
      <c r="Z47" s="14">
        <f t="shared" si="33"/>
        <v>8.6999999999999993</v>
      </c>
      <c r="AA47" s="283">
        <f t="shared" si="24"/>
        <v>21</v>
      </c>
      <c r="AB47" s="69">
        <f>Table351550535[[#This Row],[Floor4]]+Table351550535[[#This Row],[Vault6]]</f>
        <v>17.100000000000001</v>
      </c>
      <c r="AC47" s="283">
        <f t="shared" si="25"/>
        <v>37</v>
      </c>
    </row>
    <row r="48" spans="1:29">
      <c r="B48" s="94" t="s">
        <v>37</v>
      </c>
      <c r="D48" s="25"/>
      <c r="E48" s="26"/>
      <c r="H48" s="94" t="s">
        <v>37</v>
      </c>
      <c r="J48" s="25"/>
      <c r="K48" s="26"/>
      <c r="N48" s="94" t="s">
        <v>37</v>
      </c>
      <c r="P48" s="25"/>
      <c r="Q48" s="26"/>
      <c r="U48" s="16" t="s">
        <v>223</v>
      </c>
      <c r="V48" s="149">
        <v>779</v>
      </c>
      <c r="W48" s="93" t="s">
        <v>968</v>
      </c>
      <c r="X48" s="14">
        <f>C33</f>
        <v>9.9</v>
      </c>
      <c r="Y48" s="283">
        <f t="shared" si="23"/>
        <v>1</v>
      </c>
      <c r="Z48" s="14">
        <f t="shared" si="33"/>
        <v>9.6999999999999993</v>
      </c>
      <c r="AA48" s="283">
        <f t="shared" si="24"/>
        <v>2</v>
      </c>
      <c r="AB48" s="69">
        <f>Table351550535[[#This Row],[Floor4]]+Table351550535[[#This Row],[Vault6]]</f>
        <v>19.600000000000001</v>
      </c>
      <c r="AC48" s="283">
        <f t="shared" si="25"/>
        <v>1</v>
      </c>
    </row>
    <row r="49" spans="1:29">
      <c r="U49" s="16" t="s">
        <v>223</v>
      </c>
      <c r="V49" s="149">
        <v>780</v>
      </c>
      <c r="W49" s="93" t="s">
        <v>969</v>
      </c>
      <c r="X49" s="14">
        <f>C34</f>
        <v>8.9</v>
      </c>
      <c r="Y49" s="283">
        <f t="shared" si="23"/>
        <v>10.999999999999998</v>
      </c>
      <c r="Z49" s="14">
        <f t="shared" si="33"/>
        <v>8.4</v>
      </c>
      <c r="AA49" s="283">
        <f t="shared" si="24"/>
        <v>26.999999999999993</v>
      </c>
      <c r="AB49" s="69">
        <f>Table351550535[[#This Row],[Floor4]]+Table351550535[[#This Row],[Vault6]]</f>
        <v>17.3</v>
      </c>
      <c r="AC49" s="283">
        <f t="shared" si="25"/>
        <v>33</v>
      </c>
    </row>
    <row r="50" spans="1:29">
      <c r="A50" s="333" t="s">
        <v>170</v>
      </c>
      <c r="B50" s="223"/>
      <c r="C50" s="223"/>
      <c r="D50" s="223"/>
      <c r="E50" s="224"/>
      <c r="G50" s="333" t="s">
        <v>1326</v>
      </c>
      <c r="H50" s="125"/>
      <c r="I50" s="125"/>
      <c r="J50" s="125"/>
      <c r="K50" s="126"/>
      <c r="L50" s="106"/>
      <c r="M50" s="233"/>
      <c r="N50" s="39" t="s">
        <v>12</v>
      </c>
      <c r="O50" s="43" t="s">
        <v>5</v>
      </c>
      <c r="P50" s="44" t="s">
        <v>11</v>
      </c>
      <c r="Q50" s="233"/>
      <c r="U50" s="16" t="s">
        <v>223</v>
      </c>
      <c r="V50" s="149">
        <v>781</v>
      </c>
      <c r="W50" s="93" t="s">
        <v>970</v>
      </c>
      <c r="X50" s="14">
        <f t="shared" si="32"/>
        <v>8</v>
      </c>
      <c r="Y50" s="283">
        <f t="shared" si="23"/>
        <v>19.999999999999996</v>
      </c>
      <c r="Z50" s="14">
        <f>D35</f>
        <v>8.5500000000000007</v>
      </c>
      <c r="AA50" s="283">
        <f t="shared" si="24"/>
        <v>23.999999999999996</v>
      </c>
      <c r="AB50" s="69">
        <f>Table351550535[[#This Row],[Floor4]]+Table351550535[[#This Row],[Vault6]]</f>
        <v>16.55</v>
      </c>
      <c r="AC50" s="283">
        <f t="shared" si="25"/>
        <v>42</v>
      </c>
    </row>
    <row r="51" spans="1:29">
      <c r="A51" s="9" t="s">
        <v>1</v>
      </c>
      <c r="B51" s="9" t="s">
        <v>2</v>
      </c>
      <c r="C51" s="9" t="s">
        <v>3</v>
      </c>
      <c r="D51" s="9" t="s">
        <v>4</v>
      </c>
      <c r="E51" s="9" t="s">
        <v>5</v>
      </c>
      <c r="G51" s="9" t="s">
        <v>1</v>
      </c>
      <c r="H51" s="9" t="s">
        <v>2</v>
      </c>
      <c r="I51" s="9" t="s">
        <v>3</v>
      </c>
      <c r="J51" s="9" t="s">
        <v>4</v>
      </c>
      <c r="K51" s="9" t="s">
        <v>5</v>
      </c>
      <c r="L51" s="1"/>
      <c r="M51" s="111"/>
      <c r="N51" s="7" t="s">
        <v>227</v>
      </c>
      <c r="O51" s="64">
        <f>E14</f>
        <v>69.800000000000011</v>
      </c>
      <c r="P51" s="40">
        <f>SUMPRODUCT((O$51:O$63&gt;O51)/COUNTIF(O$51:O$63,O$51:O$63&amp;""))+1</f>
        <v>11</v>
      </c>
      <c r="Q51" s="111"/>
      <c r="U51" s="16" t="s">
        <v>983</v>
      </c>
      <c r="V51" s="149">
        <v>782</v>
      </c>
      <c r="W51" s="93" t="s">
        <v>996</v>
      </c>
      <c r="X51" s="14">
        <f>I30</f>
        <v>8.1</v>
      </c>
      <c r="Y51" s="283">
        <f t="shared" si="23"/>
        <v>18.999999999999996</v>
      </c>
      <c r="Z51" s="14">
        <f>J30</f>
        <v>8.5</v>
      </c>
      <c r="AA51" s="283">
        <f t="shared" si="24"/>
        <v>24.999999999999993</v>
      </c>
      <c r="AB51" s="69">
        <f>Table351550535[[#This Row],[Floor4]]+Table351550535[[#This Row],[Vault6]]</f>
        <v>16.600000000000001</v>
      </c>
      <c r="AC51" s="283">
        <f t="shared" si="25"/>
        <v>41</v>
      </c>
    </row>
    <row r="52" spans="1:29">
      <c r="A52" s="149">
        <v>812</v>
      </c>
      <c r="B52" s="93" t="s">
        <v>18</v>
      </c>
      <c r="C52" s="13">
        <v>9.1</v>
      </c>
      <c r="D52" s="13">
        <v>9.1</v>
      </c>
      <c r="E52" s="13">
        <f>SUM(C52,D52)</f>
        <v>18.2</v>
      </c>
      <c r="G52" s="149">
        <v>818</v>
      </c>
      <c r="H52" s="93" t="s">
        <v>141</v>
      </c>
      <c r="I52" s="14">
        <v>8.5</v>
      </c>
      <c r="J52" s="14">
        <v>9.4</v>
      </c>
      <c r="K52" s="14">
        <f>SUM(I52,J52)</f>
        <v>17.899999999999999</v>
      </c>
      <c r="L52" s="1"/>
      <c r="M52" s="152"/>
      <c r="N52" s="63" t="s">
        <v>1263</v>
      </c>
      <c r="O52" s="64">
        <f>K14</f>
        <v>71.099999999999994</v>
      </c>
      <c r="P52" s="40">
        <f t="shared" ref="P52:P63" si="34">SUMPRODUCT((O$51:O$63&gt;O52)/COUNTIF(O$51:O$63,O$51:O$63&amp;""))+1</f>
        <v>9</v>
      </c>
      <c r="Q52" s="68"/>
      <c r="U52" s="16" t="s">
        <v>983</v>
      </c>
      <c r="V52" s="149">
        <v>783</v>
      </c>
      <c r="W52" s="93" t="s">
        <v>997</v>
      </c>
      <c r="X52" s="14">
        <f t="shared" ref="X52" si="35">I31</f>
        <v>6.6</v>
      </c>
      <c r="Y52" s="283">
        <f t="shared" si="23"/>
        <v>21.999999999999996</v>
      </c>
      <c r="Z52" s="14">
        <f>J31</f>
        <v>9.3000000000000007</v>
      </c>
      <c r="AA52" s="283">
        <f t="shared" si="24"/>
        <v>10</v>
      </c>
      <c r="AB52" s="69">
        <f>Table351550535[[#This Row],[Floor4]]+Table351550535[[#This Row],[Vault6]]</f>
        <v>15.9</v>
      </c>
      <c r="AC52" s="283">
        <f t="shared" si="25"/>
        <v>44</v>
      </c>
    </row>
    <row r="53" spans="1:29">
      <c r="A53" s="149">
        <v>813</v>
      </c>
      <c r="B53" s="97"/>
      <c r="C53" s="13">
        <v>0</v>
      </c>
      <c r="D53" s="13">
        <v>0</v>
      </c>
      <c r="E53" s="13">
        <f t="shared" ref="E53:E57" si="36">SUM(C53,D53)</f>
        <v>0</v>
      </c>
      <c r="G53" s="161">
        <v>819</v>
      </c>
      <c r="H53" s="42" t="s">
        <v>621</v>
      </c>
      <c r="I53" s="14">
        <v>8.9</v>
      </c>
      <c r="J53" s="14">
        <v>8.25</v>
      </c>
      <c r="K53" s="14">
        <f>SUM(I53,J53)</f>
        <v>17.149999999999999</v>
      </c>
      <c r="L53" s="1"/>
      <c r="M53" s="152"/>
      <c r="N53" s="63" t="s">
        <v>13</v>
      </c>
      <c r="O53" s="64">
        <f>Q14</f>
        <v>75.849999999999994</v>
      </c>
      <c r="P53" s="40">
        <f t="shared" si="34"/>
        <v>2</v>
      </c>
      <c r="Q53" s="68"/>
      <c r="U53" s="16" t="s">
        <v>983</v>
      </c>
      <c r="V53" s="149">
        <v>784</v>
      </c>
      <c r="W53" s="93" t="s">
        <v>384</v>
      </c>
      <c r="X53" s="14">
        <f>I32</f>
        <v>9</v>
      </c>
      <c r="Y53" s="283">
        <f t="shared" si="23"/>
        <v>9.9999999999999964</v>
      </c>
      <c r="Z53" s="14">
        <f t="shared" ref="Z53:Z54" si="37">J32</f>
        <v>9.6</v>
      </c>
      <c r="AA53" s="283">
        <f t="shared" si="24"/>
        <v>4</v>
      </c>
      <c r="AB53" s="69">
        <f>Table351550535[[#This Row],[Floor4]]+Table351550535[[#This Row],[Vault6]]</f>
        <v>18.600000000000001</v>
      </c>
      <c r="AC53" s="283">
        <f t="shared" si="25"/>
        <v>12</v>
      </c>
    </row>
    <row r="54" spans="1:29">
      <c r="A54" s="149">
        <v>814</v>
      </c>
      <c r="B54" s="93" t="s">
        <v>1164</v>
      </c>
      <c r="C54" s="13">
        <v>9.3000000000000007</v>
      </c>
      <c r="D54" s="13">
        <v>9.5</v>
      </c>
      <c r="E54" s="13">
        <f t="shared" si="36"/>
        <v>18.8</v>
      </c>
      <c r="L54" s="1"/>
      <c r="M54" s="80"/>
      <c r="N54" s="63" t="s">
        <v>557</v>
      </c>
      <c r="O54" s="64">
        <f>E25</f>
        <v>70.75</v>
      </c>
      <c r="P54" s="40">
        <f t="shared" si="34"/>
        <v>10</v>
      </c>
      <c r="Q54" s="73"/>
      <c r="U54" s="16" t="s">
        <v>983</v>
      </c>
      <c r="V54" s="149">
        <v>785</v>
      </c>
      <c r="W54" s="93" t="s">
        <v>998</v>
      </c>
      <c r="X54" s="14">
        <f>I33</f>
        <v>8</v>
      </c>
      <c r="Y54" s="283">
        <f t="shared" si="23"/>
        <v>19.999999999999996</v>
      </c>
      <c r="Z54" s="14">
        <f t="shared" si="37"/>
        <v>8.5500000000000007</v>
      </c>
      <c r="AA54" s="283">
        <f t="shared" si="24"/>
        <v>23.999999999999996</v>
      </c>
      <c r="AB54" s="69">
        <f>Table351550535[[#This Row],[Floor4]]+Table351550535[[#This Row],[Vault6]]</f>
        <v>16.55</v>
      </c>
      <c r="AC54" s="283">
        <f t="shared" si="25"/>
        <v>42</v>
      </c>
    </row>
    <row r="55" spans="1:29">
      <c r="A55" s="149">
        <v>815</v>
      </c>
      <c r="B55" s="93" t="s">
        <v>477</v>
      </c>
      <c r="C55" s="13">
        <v>8.9</v>
      </c>
      <c r="D55" s="13">
        <v>9.85</v>
      </c>
      <c r="E55" s="13">
        <f t="shared" si="36"/>
        <v>18.75</v>
      </c>
      <c r="G55" s="146" t="s">
        <v>1355</v>
      </c>
      <c r="H55" s="146"/>
      <c r="I55" s="146"/>
      <c r="J55" s="146"/>
      <c r="K55" s="146"/>
      <c r="L55" s="1"/>
      <c r="M55" s="164"/>
      <c r="N55" s="63" t="s">
        <v>1286</v>
      </c>
      <c r="O55" s="62">
        <f>K25</f>
        <v>76.25</v>
      </c>
      <c r="P55" s="40">
        <f t="shared" si="34"/>
        <v>1</v>
      </c>
      <c r="Q55" s="233"/>
      <c r="U55" s="16" t="s">
        <v>391</v>
      </c>
      <c r="V55" s="149">
        <v>788</v>
      </c>
      <c r="W55" s="93" t="s">
        <v>422</v>
      </c>
      <c r="X55" s="14">
        <f>O30</f>
        <v>9.4</v>
      </c>
      <c r="Y55" s="283">
        <f t="shared" si="23"/>
        <v>6</v>
      </c>
      <c r="Z55" s="14">
        <f>P30</f>
        <v>9.6999999999999993</v>
      </c>
      <c r="AA55" s="283">
        <f t="shared" si="24"/>
        <v>2</v>
      </c>
      <c r="AB55" s="69">
        <f>Table351550535[[#This Row],[Floor4]]+Table351550535[[#This Row],[Vault6]]</f>
        <v>19.100000000000001</v>
      </c>
      <c r="AC55" s="283">
        <f t="shared" si="25"/>
        <v>5</v>
      </c>
    </row>
    <row r="56" spans="1:29">
      <c r="A56" s="149">
        <v>816</v>
      </c>
      <c r="B56" s="93" t="s">
        <v>476</v>
      </c>
      <c r="C56" s="13">
        <v>9.1</v>
      </c>
      <c r="D56" s="13">
        <v>8.4499999999999993</v>
      </c>
      <c r="E56" s="13">
        <f t="shared" si="36"/>
        <v>17.549999999999997</v>
      </c>
      <c r="G56" s="265" t="s">
        <v>1</v>
      </c>
      <c r="H56" s="265" t="s">
        <v>2</v>
      </c>
      <c r="I56" s="265" t="s">
        <v>3</v>
      </c>
      <c r="J56" s="265" t="s">
        <v>4</v>
      </c>
      <c r="K56" s="265" t="s">
        <v>5</v>
      </c>
      <c r="L56" s="1"/>
      <c r="M56" s="111"/>
      <c r="N56" s="188" t="s">
        <v>369</v>
      </c>
      <c r="O56" s="46">
        <f>Q25</f>
        <v>73.899999999999977</v>
      </c>
      <c r="P56" s="40">
        <f t="shared" si="34"/>
        <v>5</v>
      </c>
      <c r="Q56" s="111"/>
      <c r="U56" s="16" t="s">
        <v>391</v>
      </c>
      <c r="V56" s="149">
        <v>789</v>
      </c>
      <c r="W56" s="93" t="s">
        <v>425</v>
      </c>
      <c r="X56" s="14">
        <f t="shared" ref="X56:X59" si="38">O31</f>
        <v>9.1999999999999993</v>
      </c>
      <c r="Y56" s="283">
        <f t="shared" si="23"/>
        <v>7.9999999999999991</v>
      </c>
      <c r="Z56" s="14">
        <f t="shared" ref="Z56:Z60" si="39">P31</f>
        <v>9.35</v>
      </c>
      <c r="AA56" s="283">
        <f t="shared" si="24"/>
        <v>9</v>
      </c>
      <c r="AB56" s="69">
        <f>Table351550535[[#This Row],[Floor4]]+Table351550535[[#This Row],[Vault6]]</f>
        <v>18.549999999999997</v>
      </c>
      <c r="AC56" s="283">
        <f t="shared" si="25"/>
        <v>13</v>
      </c>
    </row>
    <row r="57" spans="1:29" ht="16.5" thickBot="1">
      <c r="A57" s="149">
        <v>817</v>
      </c>
      <c r="B57" s="97"/>
      <c r="C57" s="13">
        <v>0</v>
      </c>
      <c r="D57" s="13">
        <v>0</v>
      </c>
      <c r="E57" s="13">
        <f t="shared" si="36"/>
        <v>0</v>
      </c>
      <c r="G57" s="149">
        <v>820</v>
      </c>
      <c r="H57" s="100" t="s">
        <v>879</v>
      </c>
      <c r="I57" s="13">
        <v>9</v>
      </c>
      <c r="J57" s="13">
        <v>8.8000000000000007</v>
      </c>
      <c r="K57" s="13">
        <f>SUM(I57,J57)</f>
        <v>17.8</v>
      </c>
      <c r="L57" s="106"/>
      <c r="M57" s="165"/>
      <c r="N57" s="63" t="s">
        <v>1262</v>
      </c>
      <c r="O57" s="47">
        <f>E36</f>
        <v>74.099999999999994</v>
      </c>
      <c r="P57" s="40">
        <f t="shared" si="34"/>
        <v>4</v>
      </c>
      <c r="Q57" s="68"/>
      <c r="U57" s="406" t="s">
        <v>391</v>
      </c>
      <c r="V57" s="396">
        <v>790</v>
      </c>
      <c r="W57" s="397" t="s">
        <v>424</v>
      </c>
      <c r="X57" s="401">
        <f t="shared" si="38"/>
        <v>0</v>
      </c>
      <c r="Y57" s="402">
        <f t="shared" si="23"/>
        <v>22.999999999999993</v>
      </c>
      <c r="Z57" s="401">
        <f t="shared" si="39"/>
        <v>0</v>
      </c>
      <c r="AA57" s="402">
        <f t="shared" si="24"/>
        <v>30.999999999999989</v>
      </c>
      <c r="AB57" s="403">
        <f>Table351550535[[#This Row],[Floor4]]+Table351550535[[#This Row],[Vault6]]</f>
        <v>0</v>
      </c>
      <c r="AC57" s="402">
        <f t="shared" si="25"/>
        <v>45</v>
      </c>
    </row>
    <row r="58" spans="1:29" ht="16.5" thickBot="1">
      <c r="B58" s="25" t="s">
        <v>10</v>
      </c>
      <c r="C58" s="19">
        <f>SUM(C52:C57)-SMALL(C52:C57,1)-SMALL(C52:C57,2)</f>
        <v>36.4</v>
      </c>
      <c r="D58" s="19">
        <f>SUM(D52:D57)-SMALL(D52:D57,1)-SMALL(D52:D57,2)</f>
        <v>36.900000000000006</v>
      </c>
      <c r="E58" s="20">
        <f>SUM(C58:D58)</f>
        <v>73.300000000000011</v>
      </c>
      <c r="G58" s="152"/>
      <c r="H58" s="110"/>
      <c r="I58" s="73"/>
      <c r="J58" s="73"/>
      <c r="K58" s="73"/>
      <c r="L58" s="106"/>
      <c r="M58" s="106"/>
      <c r="N58" s="63" t="s">
        <v>555</v>
      </c>
      <c r="O58" s="62">
        <f>K36</f>
        <v>67.650000000000006</v>
      </c>
      <c r="P58" s="40">
        <f t="shared" si="34"/>
        <v>12</v>
      </c>
      <c r="Q58" s="105"/>
      <c r="U58" s="16" t="s">
        <v>391</v>
      </c>
      <c r="V58" s="149">
        <v>791</v>
      </c>
      <c r="W58" s="93" t="s">
        <v>426</v>
      </c>
      <c r="X58" s="14">
        <f>O33</f>
        <v>9.8000000000000007</v>
      </c>
      <c r="Y58" s="283">
        <f t="shared" si="23"/>
        <v>2</v>
      </c>
      <c r="Z58" s="14">
        <f>P33</f>
        <v>9.15</v>
      </c>
      <c r="AA58" s="283">
        <f t="shared" si="24"/>
        <v>13.000000000000002</v>
      </c>
      <c r="AB58" s="69">
        <f>Table351550535[[#This Row],[Floor4]]+Table351550535[[#This Row],[Vault6]]</f>
        <v>18.950000000000003</v>
      </c>
      <c r="AC58" s="283">
        <f t="shared" si="25"/>
        <v>6</v>
      </c>
    </row>
    <row r="59" spans="1:29">
      <c r="B59" s="94" t="s">
        <v>37</v>
      </c>
      <c r="D59" s="25"/>
      <c r="E59" s="26"/>
      <c r="G59" s="164"/>
      <c r="H59" s="233"/>
      <c r="I59" s="233"/>
      <c r="J59" s="233"/>
      <c r="K59" s="233"/>
      <c r="L59" s="1"/>
      <c r="M59" s="106"/>
      <c r="N59" s="188" t="s">
        <v>539</v>
      </c>
      <c r="O59" s="46">
        <f>Q36</f>
        <v>75.549999999999983</v>
      </c>
      <c r="P59" s="40">
        <f t="shared" si="34"/>
        <v>3</v>
      </c>
      <c r="Q59" s="115"/>
      <c r="U59" s="16" t="s">
        <v>391</v>
      </c>
      <c r="V59" s="149">
        <v>792</v>
      </c>
      <c r="W59" s="93" t="s">
        <v>410</v>
      </c>
      <c r="X59" s="14">
        <f t="shared" si="38"/>
        <v>9.6</v>
      </c>
      <c r="Y59" s="283">
        <f t="shared" si="23"/>
        <v>4</v>
      </c>
      <c r="Z59" s="14">
        <f t="shared" si="39"/>
        <v>9.25</v>
      </c>
      <c r="AA59" s="283">
        <f t="shared" si="24"/>
        <v>11</v>
      </c>
      <c r="AB59" s="69">
        <f>Table351550535[[#This Row],[Floor4]]+Table351550535[[#This Row],[Vault6]]</f>
        <v>18.850000000000001</v>
      </c>
      <c r="AC59" s="283">
        <f t="shared" si="25"/>
        <v>7</v>
      </c>
    </row>
    <row r="60" spans="1:29">
      <c r="G60" s="111"/>
      <c r="H60" s="111"/>
      <c r="I60" s="111"/>
      <c r="J60" s="111"/>
      <c r="K60" s="111"/>
      <c r="L60" s="1"/>
      <c r="M60" s="106"/>
      <c r="N60" s="188" t="s">
        <v>540</v>
      </c>
      <c r="O60" s="47">
        <f>E47</f>
        <v>73.099999999999994</v>
      </c>
      <c r="P60" s="40">
        <f t="shared" si="34"/>
        <v>7</v>
      </c>
      <c r="Q60" s="1"/>
      <c r="U60" s="16" t="s">
        <v>391</v>
      </c>
      <c r="V60" s="149">
        <v>793</v>
      </c>
      <c r="W60" s="93" t="s">
        <v>413</v>
      </c>
      <c r="X60" s="14">
        <f>O35</f>
        <v>9.3000000000000007</v>
      </c>
      <c r="Y60" s="283">
        <f t="shared" si="23"/>
        <v>7</v>
      </c>
      <c r="Z60" s="14">
        <f t="shared" si="39"/>
        <v>9.1</v>
      </c>
      <c r="AA60" s="283">
        <f t="shared" si="24"/>
        <v>14.000000000000002</v>
      </c>
      <c r="AB60" s="69">
        <f>Table351550535[[#This Row],[Floor4]]+Table351550535[[#This Row],[Vault6]]</f>
        <v>18.399999999999999</v>
      </c>
      <c r="AC60" s="283">
        <f t="shared" si="25"/>
        <v>16</v>
      </c>
    </row>
    <row r="61" spans="1:29">
      <c r="A61" s="333" t="s">
        <v>1325</v>
      </c>
      <c r="B61" s="220"/>
      <c r="C61" s="220"/>
      <c r="D61" s="220"/>
      <c r="E61" s="221"/>
      <c r="G61" s="333" t="s">
        <v>1367</v>
      </c>
      <c r="H61" s="220"/>
      <c r="I61" s="220"/>
      <c r="J61" s="220"/>
      <c r="K61" s="221"/>
      <c r="L61" s="106"/>
      <c r="M61" s="137"/>
      <c r="N61" s="7" t="s">
        <v>219</v>
      </c>
      <c r="O61" s="62">
        <f>K47</f>
        <v>51</v>
      </c>
      <c r="P61" s="40">
        <f t="shared" si="34"/>
        <v>13</v>
      </c>
      <c r="Q61" s="137"/>
      <c r="U61" s="16" t="s">
        <v>391</v>
      </c>
      <c r="V61" s="149">
        <v>794</v>
      </c>
      <c r="W61" s="93" t="s">
        <v>401</v>
      </c>
      <c r="X61" s="14">
        <f>C41</f>
        <v>9.1</v>
      </c>
      <c r="Y61" s="283">
        <f t="shared" si="23"/>
        <v>8.9999999999999964</v>
      </c>
      <c r="Z61" s="14">
        <f>D41</f>
        <v>9</v>
      </c>
      <c r="AA61" s="283">
        <f t="shared" si="24"/>
        <v>16</v>
      </c>
      <c r="AB61" s="69">
        <f>Table351550535[[#This Row],[Floor4]]+Table351550535[[#This Row],[Vault6]]</f>
        <v>18.100000000000001</v>
      </c>
      <c r="AC61" s="283">
        <f t="shared" si="25"/>
        <v>20</v>
      </c>
    </row>
    <row r="62" spans="1:29">
      <c r="A62" s="9" t="s">
        <v>1</v>
      </c>
      <c r="B62" s="9" t="s">
        <v>2</v>
      </c>
      <c r="C62" s="9" t="s">
        <v>3</v>
      </c>
      <c r="D62" s="9" t="s">
        <v>4</v>
      </c>
      <c r="E62" s="9" t="s">
        <v>5</v>
      </c>
      <c r="G62" s="9" t="s">
        <v>1</v>
      </c>
      <c r="H62" s="9" t="s">
        <v>2</v>
      </c>
      <c r="I62" s="9" t="s">
        <v>3</v>
      </c>
      <c r="J62" s="9" t="s">
        <v>4</v>
      </c>
      <c r="K62" s="9" t="s">
        <v>5</v>
      </c>
      <c r="L62" s="1"/>
      <c r="M62" s="77"/>
      <c r="N62" s="63" t="s">
        <v>171</v>
      </c>
      <c r="O62" s="46">
        <f>Q47</f>
        <v>71.55</v>
      </c>
      <c r="P62" s="40">
        <f t="shared" si="34"/>
        <v>8</v>
      </c>
      <c r="Q62" s="111"/>
      <c r="U62" s="406" t="s">
        <v>391</v>
      </c>
      <c r="V62" s="396">
        <v>795</v>
      </c>
      <c r="W62" s="397" t="s">
        <v>413</v>
      </c>
      <c r="X62" s="401">
        <f t="shared" ref="X62:X66" si="40">C42</f>
        <v>0</v>
      </c>
      <c r="Y62" s="402">
        <f t="shared" si="23"/>
        <v>22.999999999999993</v>
      </c>
      <c r="Z62" s="401">
        <f t="shared" ref="Z62:Z66" si="41">D42</f>
        <v>0</v>
      </c>
      <c r="AA62" s="402">
        <f t="shared" si="24"/>
        <v>30.999999999999989</v>
      </c>
      <c r="AB62" s="403">
        <f>Table351550535[[#This Row],[Floor4]]+Table351550535[[#This Row],[Vault6]]</f>
        <v>0</v>
      </c>
      <c r="AC62" s="402">
        <f t="shared" si="25"/>
        <v>45</v>
      </c>
    </row>
    <row r="63" spans="1:29">
      <c r="A63" s="149">
        <v>822</v>
      </c>
      <c r="B63" s="93" t="s">
        <v>906</v>
      </c>
      <c r="C63" s="13">
        <v>9.1999999999999993</v>
      </c>
      <c r="D63" s="13">
        <v>8.9</v>
      </c>
      <c r="E63" s="13">
        <f>SUM(C63,D63)</f>
        <v>18.100000000000001</v>
      </c>
      <c r="G63" s="149">
        <v>825</v>
      </c>
      <c r="H63" s="16" t="s">
        <v>939</v>
      </c>
      <c r="I63" s="13">
        <v>9</v>
      </c>
      <c r="J63" s="13">
        <v>9.4499999999999993</v>
      </c>
      <c r="K63" s="13">
        <f>SUM(I63,J63)</f>
        <v>18.45</v>
      </c>
      <c r="L63" s="1"/>
      <c r="M63" s="102"/>
      <c r="N63" s="63" t="s">
        <v>170</v>
      </c>
      <c r="O63" s="64">
        <f>E58</f>
        <v>73.300000000000011</v>
      </c>
      <c r="P63" s="40">
        <f t="shared" si="34"/>
        <v>6</v>
      </c>
      <c r="Q63" s="73"/>
      <c r="U63" s="16" t="s">
        <v>391</v>
      </c>
      <c r="V63" s="149">
        <v>796</v>
      </c>
      <c r="W63" s="93" t="s">
        <v>402</v>
      </c>
      <c r="X63" s="14">
        <f t="shared" si="40"/>
        <v>8.9</v>
      </c>
      <c r="Y63" s="283">
        <f t="shared" si="23"/>
        <v>10.999999999999998</v>
      </c>
      <c r="Z63" s="14">
        <f t="shared" si="41"/>
        <v>9.4</v>
      </c>
      <c r="AA63" s="283">
        <f t="shared" si="24"/>
        <v>7.9999999999999991</v>
      </c>
      <c r="AB63" s="69">
        <f>Table351550535[[#This Row],[Floor4]]+Table351550535[[#This Row],[Vault6]]</f>
        <v>18.3</v>
      </c>
      <c r="AC63" s="283">
        <f t="shared" si="25"/>
        <v>18</v>
      </c>
    </row>
    <row r="64" spans="1:29">
      <c r="A64" s="149">
        <v>823</v>
      </c>
      <c r="B64" s="93" t="s">
        <v>907</v>
      </c>
      <c r="C64" s="13">
        <v>8.9</v>
      </c>
      <c r="D64" s="13">
        <v>8.9</v>
      </c>
      <c r="E64" s="13">
        <f t="shared" ref="E64:E65" si="42">SUM(C64,D64)</f>
        <v>17.8</v>
      </c>
      <c r="F64" s="1"/>
      <c r="G64" s="102"/>
      <c r="H64" s="110"/>
      <c r="I64" s="73"/>
      <c r="J64" s="73"/>
      <c r="K64" s="73"/>
      <c r="L64" s="1"/>
      <c r="M64" s="102"/>
      <c r="Q64" s="73"/>
      <c r="U64" s="406" t="s">
        <v>391</v>
      </c>
      <c r="V64" s="396">
        <v>797</v>
      </c>
      <c r="W64" s="397" t="s">
        <v>393</v>
      </c>
      <c r="X64" s="401">
        <f>C44</f>
        <v>0</v>
      </c>
      <c r="Y64" s="402">
        <f t="shared" si="23"/>
        <v>22.999999999999993</v>
      </c>
      <c r="Z64" s="401">
        <f>D44</f>
        <v>0</v>
      </c>
      <c r="AA64" s="402">
        <f t="shared" si="24"/>
        <v>30.999999999999989</v>
      </c>
      <c r="AB64" s="403">
        <f>Table351550535[[#This Row],[Floor4]]+Table351550535[[#This Row],[Vault6]]</f>
        <v>0</v>
      </c>
      <c r="AC64" s="402">
        <f t="shared" si="25"/>
        <v>45</v>
      </c>
    </row>
    <row r="65" spans="1:29">
      <c r="A65" s="149">
        <v>824</v>
      </c>
      <c r="B65" s="93" t="s">
        <v>908</v>
      </c>
      <c r="C65" s="13">
        <v>8.9</v>
      </c>
      <c r="D65" s="13">
        <v>9.0500000000000007</v>
      </c>
      <c r="E65" s="13">
        <f t="shared" si="42"/>
        <v>17.950000000000003</v>
      </c>
      <c r="F65" s="106"/>
      <c r="L65" s="1"/>
      <c r="M65" s="102"/>
      <c r="Q65" s="73"/>
      <c r="U65" s="16" t="s">
        <v>391</v>
      </c>
      <c r="V65" s="149">
        <v>798</v>
      </c>
      <c r="W65" s="93" t="s">
        <v>423</v>
      </c>
      <c r="X65" s="14">
        <f t="shared" si="40"/>
        <v>9.9</v>
      </c>
      <c r="Y65" s="283">
        <f t="shared" si="23"/>
        <v>1</v>
      </c>
      <c r="Z65" s="14">
        <f t="shared" si="41"/>
        <v>9.3000000000000007</v>
      </c>
      <c r="AA65" s="283">
        <f t="shared" si="24"/>
        <v>10</v>
      </c>
      <c r="AB65" s="69">
        <f>Table351550535[[#This Row],[Floor4]]+Table351550535[[#This Row],[Vault6]]</f>
        <v>19.200000000000003</v>
      </c>
      <c r="AC65" s="283">
        <f t="shared" si="25"/>
        <v>4</v>
      </c>
    </row>
    <row r="66" spans="1:29">
      <c r="F66" s="1"/>
      <c r="L66" s="1"/>
      <c r="M66" s="102"/>
      <c r="Q66" s="73"/>
      <c r="U66" s="16" t="s">
        <v>391</v>
      </c>
      <c r="V66" s="149">
        <v>799</v>
      </c>
      <c r="W66" s="93" t="s">
        <v>1030</v>
      </c>
      <c r="X66" s="14">
        <f t="shared" si="40"/>
        <v>9</v>
      </c>
      <c r="Y66" s="283">
        <f t="shared" si="23"/>
        <v>9.9999999999999964</v>
      </c>
      <c r="Z66" s="14">
        <f t="shared" si="41"/>
        <v>8.5</v>
      </c>
      <c r="AA66" s="283">
        <f t="shared" si="24"/>
        <v>24.999999999999993</v>
      </c>
      <c r="AB66" s="69">
        <f>Table351550535[[#This Row],[Floor4]]+Table351550535[[#This Row],[Vault6]]</f>
        <v>17.5</v>
      </c>
      <c r="AC66" s="283">
        <f t="shared" si="25"/>
        <v>29.999999999999996</v>
      </c>
    </row>
    <row r="67" spans="1:29">
      <c r="A67" s="273"/>
      <c r="B67" s="273"/>
      <c r="C67" s="273"/>
      <c r="D67" s="273"/>
      <c r="E67" s="273"/>
      <c r="F67" s="1"/>
      <c r="L67" s="1"/>
      <c r="M67" s="102"/>
      <c r="Q67" s="73"/>
      <c r="U67" s="406" t="s">
        <v>1115</v>
      </c>
      <c r="V67" s="396">
        <v>800</v>
      </c>
      <c r="W67" s="397" t="s">
        <v>1360</v>
      </c>
      <c r="X67" s="401">
        <f>I41</f>
        <v>0</v>
      </c>
      <c r="Y67" s="402">
        <f t="shared" si="23"/>
        <v>22.999999999999993</v>
      </c>
      <c r="Z67" s="401">
        <f>J41</f>
        <v>0</v>
      </c>
      <c r="AA67" s="402">
        <f t="shared" si="24"/>
        <v>30.999999999999989</v>
      </c>
      <c r="AB67" s="403">
        <f>Table351550535[[#This Row],[Floor4]]+Table351550535[[#This Row],[Vault6]]</f>
        <v>0</v>
      </c>
      <c r="AC67" s="402">
        <f t="shared" si="25"/>
        <v>45</v>
      </c>
    </row>
    <row r="68" spans="1:29">
      <c r="A68" s="77"/>
      <c r="B68" s="77"/>
      <c r="C68" s="77"/>
      <c r="D68" s="77"/>
      <c r="E68" s="77"/>
      <c r="F68" s="1"/>
      <c r="L68" s="106"/>
      <c r="M68" s="102"/>
      <c r="Q68" s="68"/>
      <c r="U68" s="16" t="s">
        <v>1115</v>
      </c>
      <c r="V68" s="149">
        <v>801</v>
      </c>
      <c r="W68" s="93" t="s">
        <v>464</v>
      </c>
      <c r="X68" s="14">
        <f t="shared" ref="X68:X72" si="43">I42</f>
        <v>7.8</v>
      </c>
      <c r="Y68" s="283">
        <f t="shared" si="23"/>
        <v>20.999999999999996</v>
      </c>
      <c r="Z68" s="14">
        <f>J42</f>
        <v>8.5500000000000007</v>
      </c>
      <c r="AA68" s="283">
        <f t="shared" si="24"/>
        <v>23.999999999999996</v>
      </c>
      <c r="AB68" s="69">
        <f>Table351550535[[#This Row],[Floor4]]+Table351550535[[#This Row],[Vault6]]</f>
        <v>16.350000000000001</v>
      </c>
      <c r="AC68" s="283">
        <f t="shared" si="25"/>
        <v>43</v>
      </c>
    </row>
    <row r="69" spans="1:29">
      <c r="A69" s="165"/>
      <c r="B69" s="107"/>
      <c r="C69" s="68"/>
      <c r="D69" s="68"/>
      <c r="E69" s="68"/>
      <c r="F69" s="1"/>
      <c r="L69" s="106"/>
      <c r="M69" s="1"/>
      <c r="Q69" s="105"/>
      <c r="U69" s="16" t="s">
        <v>1115</v>
      </c>
      <c r="V69" s="149">
        <v>802</v>
      </c>
      <c r="W69" s="93" t="s">
        <v>465</v>
      </c>
      <c r="X69" s="14">
        <f t="shared" si="43"/>
        <v>8.6</v>
      </c>
      <c r="Y69" s="283">
        <f t="shared" si="23"/>
        <v>13.999999999999998</v>
      </c>
      <c r="Z69" s="14">
        <f t="shared" ref="Z69:Z72" si="44">J43</f>
        <v>8.65</v>
      </c>
      <c r="AA69" s="283">
        <f t="shared" si="24"/>
        <v>22</v>
      </c>
      <c r="AB69" s="69">
        <f>Table351550535[[#This Row],[Floor4]]+Table351550535[[#This Row],[Vault6]]</f>
        <v>17.25</v>
      </c>
      <c r="AC69" s="283">
        <f t="shared" si="25"/>
        <v>33.999999999999993</v>
      </c>
    </row>
    <row r="70" spans="1:29">
      <c r="A70" s="165"/>
      <c r="B70" s="107"/>
      <c r="C70" s="68"/>
      <c r="D70" s="68"/>
      <c r="E70" s="68"/>
      <c r="F70" s="1"/>
      <c r="L70" s="1"/>
      <c r="M70" s="1"/>
      <c r="Q70" s="115"/>
      <c r="U70" s="16" t="s">
        <v>1115</v>
      </c>
      <c r="V70" s="149">
        <v>803</v>
      </c>
      <c r="W70" s="93" t="s">
        <v>462</v>
      </c>
      <c r="X70" s="14">
        <f t="shared" si="43"/>
        <v>8.6999999999999993</v>
      </c>
      <c r="Y70" s="283">
        <f t="shared" si="23"/>
        <v>12.999999999999998</v>
      </c>
      <c r="Z70" s="14">
        <f t="shared" si="44"/>
        <v>8.6999999999999993</v>
      </c>
      <c r="AA70" s="283">
        <f t="shared" si="24"/>
        <v>21</v>
      </c>
      <c r="AB70" s="69">
        <f>Table351550535[[#This Row],[Floor4]]+Table351550535[[#This Row],[Vault6]]</f>
        <v>17.399999999999999</v>
      </c>
      <c r="AC70" s="283">
        <f t="shared" si="25"/>
        <v>31.999999999999996</v>
      </c>
    </row>
    <row r="71" spans="1:29">
      <c r="A71" s="165"/>
      <c r="B71" s="107"/>
      <c r="C71" s="68"/>
      <c r="D71" s="68"/>
      <c r="E71" s="68"/>
      <c r="F71" s="1"/>
      <c r="L71" s="81"/>
      <c r="M71" s="1"/>
      <c r="Q71" s="1"/>
      <c r="U71" s="406" t="s">
        <v>1115</v>
      </c>
      <c r="V71" s="396">
        <v>804</v>
      </c>
      <c r="W71" s="397" t="s">
        <v>1116</v>
      </c>
      <c r="X71" s="401">
        <f>I45</f>
        <v>0</v>
      </c>
      <c r="Y71" s="402">
        <f t="shared" ref="Y71:Y86" si="45">SUMPRODUCT((X$7:X$86&gt;X71)/COUNTIF(X$7:X$86,X$7:X$86&amp;""))+1</f>
        <v>22.999999999999993</v>
      </c>
      <c r="Z71" s="401">
        <f t="shared" si="44"/>
        <v>0</v>
      </c>
      <c r="AA71" s="402">
        <f t="shared" ref="AA71:AA86" si="46">SUMPRODUCT((Z$7:Z$86&gt;Z71)/COUNTIF(Z$7:Z$86,Z$7:Z$86&amp;""))+1</f>
        <v>30.999999999999989</v>
      </c>
      <c r="AB71" s="403">
        <f>Table351550535[[#This Row],[Floor4]]+Table351550535[[#This Row],[Vault6]]</f>
        <v>0</v>
      </c>
      <c r="AC71" s="402">
        <f t="shared" ref="AC71:AC86" si="47">SUMPRODUCT((AB$7:AB$86&gt;AB71)/COUNTIF(AB$7:AB$86,AB$7:AB$86&amp;""))+1</f>
        <v>45</v>
      </c>
    </row>
    <row r="72" spans="1:29">
      <c r="F72" s="106"/>
      <c r="L72" s="137"/>
      <c r="M72" s="137"/>
      <c r="Q72" s="137"/>
      <c r="U72" s="406" t="s">
        <v>1115</v>
      </c>
      <c r="V72" s="396">
        <v>805</v>
      </c>
      <c r="W72" s="397" t="s">
        <v>1117</v>
      </c>
      <c r="X72" s="401">
        <f t="shared" si="43"/>
        <v>0</v>
      </c>
      <c r="Y72" s="402">
        <f t="shared" si="45"/>
        <v>22.999999999999993</v>
      </c>
      <c r="Z72" s="401">
        <f t="shared" si="44"/>
        <v>0</v>
      </c>
      <c r="AA72" s="402">
        <f t="shared" si="46"/>
        <v>30.999999999999989</v>
      </c>
      <c r="AB72" s="403">
        <f>Table351550535[[#This Row],[Floor4]]+Table351550535[[#This Row],[Vault6]]</f>
        <v>0</v>
      </c>
      <c r="AC72" s="402">
        <f t="shared" si="47"/>
        <v>45</v>
      </c>
    </row>
    <row r="73" spans="1:29">
      <c r="A73" s="152"/>
      <c r="B73" s="110"/>
      <c r="C73" s="73"/>
      <c r="D73" s="73"/>
      <c r="E73" s="73"/>
      <c r="F73" s="106"/>
      <c r="L73" s="81"/>
      <c r="M73" s="111"/>
      <c r="Q73" s="111"/>
      <c r="U73" s="16" t="s">
        <v>87</v>
      </c>
      <c r="V73" s="149">
        <v>806</v>
      </c>
      <c r="W73" s="93" t="s">
        <v>1159</v>
      </c>
      <c r="X73" s="14">
        <f>O41</f>
        <v>8.5</v>
      </c>
      <c r="Y73" s="283">
        <f t="shared" si="45"/>
        <v>14.999999999999998</v>
      </c>
      <c r="Z73" s="14">
        <f>P41</f>
        <v>9.15</v>
      </c>
      <c r="AA73" s="283">
        <f t="shared" si="46"/>
        <v>13.000000000000002</v>
      </c>
      <c r="AB73" s="69">
        <f>Table351550535[[#This Row],[Floor4]]+Table351550535[[#This Row],[Vault6]]</f>
        <v>17.649999999999999</v>
      </c>
      <c r="AC73" s="283">
        <f t="shared" si="47"/>
        <v>26.999999999999996</v>
      </c>
    </row>
    <row r="74" spans="1:29">
      <c r="A74" s="152"/>
      <c r="B74" s="110"/>
      <c r="C74" s="73"/>
      <c r="D74" s="73"/>
      <c r="E74" s="73"/>
      <c r="F74" s="1"/>
      <c r="L74" s="81"/>
      <c r="U74" s="16" t="s">
        <v>87</v>
      </c>
      <c r="V74" s="149">
        <v>807</v>
      </c>
      <c r="W74" s="93" t="s">
        <v>1160</v>
      </c>
      <c r="X74" s="14">
        <f t="shared" ref="X74:X76" si="48">O42</f>
        <v>9.1999999999999993</v>
      </c>
      <c r="Y74" s="283">
        <f t="shared" si="45"/>
        <v>7.9999999999999991</v>
      </c>
      <c r="Z74" s="14">
        <f>P42</f>
        <v>8.4</v>
      </c>
      <c r="AA74" s="283">
        <f t="shared" si="46"/>
        <v>26.999999999999993</v>
      </c>
      <c r="AB74" s="69">
        <f>Table351550535[[#This Row],[Floor4]]+Table351550535[[#This Row],[Vault6]]</f>
        <v>17.600000000000001</v>
      </c>
      <c r="AC74" s="283">
        <f t="shared" si="47"/>
        <v>27.999999999999996</v>
      </c>
    </row>
    <row r="75" spans="1:29">
      <c r="F75" s="1"/>
      <c r="L75" s="81"/>
      <c r="U75" s="16" t="s">
        <v>87</v>
      </c>
      <c r="V75" s="149">
        <v>808</v>
      </c>
      <c r="W75" s="93" t="s">
        <v>1161</v>
      </c>
      <c r="X75" s="14">
        <f>O43</f>
        <v>8.6999999999999993</v>
      </c>
      <c r="Y75" s="283">
        <f t="shared" si="45"/>
        <v>12.999999999999998</v>
      </c>
      <c r="Z75" s="14">
        <f t="shared" ref="Z75:Z76" si="49">P43</f>
        <v>9.5</v>
      </c>
      <c r="AA75" s="283">
        <f t="shared" si="46"/>
        <v>6</v>
      </c>
      <c r="AB75" s="69">
        <f>Table351550535[[#This Row],[Floor4]]+Table351550535[[#This Row],[Vault6]]</f>
        <v>18.2</v>
      </c>
      <c r="AC75" s="283">
        <f t="shared" si="47"/>
        <v>19</v>
      </c>
    </row>
    <row r="76" spans="1:29">
      <c r="F76" s="106"/>
      <c r="G76" s="137"/>
      <c r="H76" s="137"/>
      <c r="I76" s="137"/>
      <c r="J76" s="137"/>
      <c r="K76" s="137"/>
      <c r="L76" s="81"/>
      <c r="U76" s="16" t="s">
        <v>87</v>
      </c>
      <c r="V76" s="149">
        <v>809</v>
      </c>
      <c r="W76" s="93" t="s">
        <v>1162</v>
      </c>
      <c r="X76" s="14">
        <f t="shared" si="48"/>
        <v>8.6999999999999993</v>
      </c>
      <c r="Y76" s="283">
        <f t="shared" si="45"/>
        <v>12.999999999999998</v>
      </c>
      <c r="Z76" s="14">
        <f t="shared" si="49"/>
        <v>9.4</v>
      </c>
      <c r="AA76" s="283">
        <f t="shared" si="46"/>
        <v>7.9999999999999991</v>
      </c>
      <c r="AB76" s="69">
        <f>Table351550535[[#This Row],[Floor4]]+Table351550535[[#This Row],[Vault6]]</f>
        <v>18.100000000000001</v>
      </c>
      <c r="AC76" s="283">
        <f t="shared" si="47"/>
        <v>20</v>
      </c>
    </row>
    <row r="77" spans="1:29">
      <c r="F77" s="1"/>
      <c r="L77" s="137"/>
      <c r="U77" s="16" t="s">
        <v>87</v>
      </c>
      <c r="V77" s="149">
        <v>812</v>
      </c>
      <c r="W77" s="93" t="s">
        <v>18</v>
      </c>
      <c r="X77" s="14">
        <f>C52</f>
        <v>9.1</v>
      </c>
      <c r="Y77" s="283">
        <f t="shared" si="45"/>
        <v>8.9999999999999964</v>
      </c>
      <c r="Z77" s="14">
        <f>D52</f>
        <v>9.1</v>
      </c>
      <c r="AA77" s="283">
        <f t="shared" si="46"/>
        <v>14.000000000000002</v>
      </c>
      <c r="AB77" s="69">
        <f>Table351550535[[#This Row],[Floor4]]+Table351550535[[#This Row],[Vault6]]</f>
        <v>18.2</v>
      </c>
      <c r="AC77" s="283">
        <f t="shared" si="47"/>
        <v>19</v>
      </c>
    </row>
    <row r="78" spans="1:29">
      <c r="F78" s="1"/>
      <c r="L78" s="81"/>
      <c r="M78" s="102"/>
      <c r="N78" s="110"/>
      <c r="O78" s="73"/>
      <c r="P78" s="73"/>
      <c r="Q78" s="73"/>
      <c r="U78" s="16" t="s">
        <v>87</v>
      </c>
      <c r="V78" s="149">
        <v>814</v>
      </c>
      <c r="W78" s="93" t="s">
        <v>1164</v>
      </c>
      <c r="X78" s="14">
        <f t="shared" ref="X78:X80" si="50">C54</f>
        <v>9.3000000000000007</v>
      </c>
      <c r="Y78" s="283">
        <f t="shared" si="45"/>
        <v>7</v>
      </c>
      <c r="Z78" s="14">
        <f>D54</f>
        <v>9.5</v>
      </c>
      <c r="AA78" s="283">
        <f t="shared" si="46"/>
        <v>6</v>
      </c>
      <c r="AB78" s="69">
        <f>Table351550535[[#This Row],[Floor4]]+Table351550535[[#This Row],[Vault6]]</f>
        <v>18.8</v>
      </c>
      <c r="AC78" s="283">
        <f t="shared" si="47"/>
        <v>8</v>
      </c>
    </row>
    <row r="79" spans="1:29">
      <c r="F79" s="81"/>
      <c r="L79" s="81"/>
      <c r="M79" s="102"/>
      <c r="N79" s="104"/>
      <c r="O79" s="64"/>
      <c r="P79" s="64"/>
      <c r="Q79" s="68"/>
      <c r="U79" s="16" t="s">
        <v>87</v>
      </c>
      <c r="V79" s="149">
        <v>815</v>
      </c>
      <c r="W79" s="93" t="s">
        <v>477</v>
      </c>
      <c r="X79" s="14">
        <f t="shared" si="50"/>
        <v>8.9</v>
      </c>
      <c r="Y79" s="283">
        <f t="shared" si="45"/>
        <v>10.999999999999998</v>
      </c>
      <c r="Z79" s="14">
        <f>D55</f>
        <v>9.85</v>
      </c>
      <c r="AA79" s="283">
        <f t="shared" si="46"/>
        <v>1</v>
      </c>
      <c r="AB79" s="69">
        <f>Table351550535[[#This Row],[Floor4]]+Table351550535[[#This Row],[Vault6]]</f>
        <v>18.75</v>
      </c>
      <c r="AC79" s="283">
        <f t="shared" si="47"/>
        <v>9</v>
      </c>
    </row>
    <row r="80" spans="1:29">
      <c r="F80" s="81"/>
      <c r="L80" s="81"/>
      <c r="M80" s="1"/>
      <c r="N80" s="121"/>
      <c r="O80" s="1"/>
      <c r="P80" s="104"/>
      <c r="Q80" s="105"/>
      <c r="U80" s="16" t="s">
        <v>87</v>
      </c>
      <c r="V80" s="149">
        <v>816</v>
      </c>
      <c r="W80" s="93" t="s">
        <v>476</v>
      </c>
      <c r="X80" s="14">
        <f t="shared" si="50"/>
        <v>9.1</v>
      </c>
      <c r="Y80" s="283">
        <f t="shared" si="45"/>
        <v>8.9999999999999964</v>
      </c>
      <c r="Z80" s="14">
        <f>D56</f>
        <v>8.4499999999999993</v>
      </c>
      <c r="AA80" s="283">
        <f t="shared" si="46"/>
        <v>25.999999999999993</v>
      </c>
      <c r="AB80" s="69">
        <f>Table351550535[[#This Row],[Floor4]]+Table351550535[[#This Row],[Vault6]]</f>
        <v>17.549999999999997</v>
      </c>
      <c r="AC80" s="283">
        <f t="shared" si="47"/>
        <v>28.999999999999996</v>
      </c>
    </row>
    <row r="81" spans="1:29">
      <c r="F81" s="81"/>
      <c r="L81" s="81"/>
      <c r="M81" s="1"/>
      <c r="N81" s="1"/>
      <c r="O81" s="1"/>
      <c r="P81" s="1"/>
      <c r="Q81" s="1"/>
      <c r="U81" s="307" t="s">
        <v>1049</v>
      </c>
      <c r="V81" s="302">
        <v>833</v>
      </c>
      <c r="W81" s="303" t="s">
        <v>1062</v>
      </c>
      <c r="X81" s="295">
        <f>'INT 13&amp;U MX'!D11</f>
        <v>8.8000000000000007</v>
      </c>
      <c r="Y81" s="283">
        <f t="shared" si="45"/>
        <v>11.999999999999998</v>
      </c>
      <c r="Z81" s="295">
        <f>'INT 13&amp;U MX'!E11</f>
        <v>8.3000000000000007</v>
      </c>
      <c r="AA81" s="283">
        <f t="shared" si="46"/>
        <v>27.999999999999989</v>
      </c>
      <c r="AB81" s="299">
        <f>Table351550535[[#This Row],[Floor4]]+Table351550535[[#This Row],[Vault6]]</f>
        <v>17.100000000000001</v>
      </c>
      <c r="AC81" s="283">
        <f t="shared" si="47"/>
        <v>37</v>
      </c>
    </row>
    <row r="82" spans="1:29">
      <c r="F82" s="81"/>
      <c r="L82" s="137"/>
      <c r="M82" s="1"/>
      <c r="N82" s="137"/>
      <c r="O82" s="137"/>
      <c r="P82" s="137"/>
      <c r="Q82" s="1"/>
      <c r="U82" s="307" t="s">
        <v>1049</v>
      </c>
      <c r="V82" s="302">
        <v>834</v>
      </c>
      <c r="W82" s="303" t="s">
        <v>1063</v>
      </c>
      <c r="X82" s="295">
        <f>'INT 13&amp;U MX'!D12</f>
        <v>9.1999999999999993</v>
      </c>
      <c r="Y82" s="283">
        <f t="shared" si="45"/>
        <v>7.9999999999999991</v>
      </c>
      <c r="Z82" s="295">
        <f>'INT 13&amp;U MX'!E12</f>
        <v>8.4499999999999993</v>
      </c>
      <c r="AA82" s="283">
        <f t="shared" si="46"/>
        <v>25.999999999999993</v>
      </c>
      <c r="AB82" s="299">
        <f>Table351550535[[#This Row],[Floor4]]+Table351550535[[#This Row],[Vault6]]</f>
        <v>17.649999999999999</v>
      </c>
      <c r="AC82" s="283">
        <f t="shared" si="47"/>
        <v>26.999999999999996</v>
      </c>
    </row>
    <row r="83" spans="1:29">
      <c r="F83" s="106"/>
      <c r="L83" s="81"/>
      <c r="M83" s="137"/>
      <c r="N83" s="111"/>
      <c r="O83" s="111"/>
      <c r="P83" s="111"/>
      <c r="Q83" s="137"/>
      <c r="U83" s="307" t="s">
        <v>1227</v>
      </c>
      <c r="V83" s="318">
        <v>838</v>
      </c>
      <c r="W83" s="308" t="s">
        <v>1362</v>
      </c>
      <c r="X83" s="295">
        <f>'INT 13&amp;U MX'!O10</f>
        <v>9.1999999999999993</v>
      </c>
      <c r="Y83" s="283">
        <f t="shared" si="45"/>
        <v>7.9999999999999991</v>
      </c>
      <c r="Z83" s="295">
        <f>'INT 13&amp;U MX'!P10</f>
        <v>8.85</v>
      </c>
      <c r="AA83" s="283">
        <f t="shared" si="46"/>
        <v>19</v>
      </c>
      <c r="AB83" s="299">
        <f>Table351550535[[#This Row],[Floor4]]+Table351550535[[#This Row],[Vault6]]</f>
        <v>18.049999999999997</v>
      </c>
      <c r="AC83" s="283">
        <f t="shared" si="47"/>
        <v>21</v>
      </c>
    </row>
    <row r="84" spans="1:29">
      <c r="F84" s="1"/>
      <c r="L84" s="81"/>
      <c r="M84" s="111"/>
      <c r="N84" s="110"/>
      <c r="O84" s="73"/>
      <c r="P84" s="73"/>
      <c r="Q84" s="111"/>
      <c r="U84" s="307" t="s">
        <v>1227</v>
      </c>
      <c r="V84" s="318">
        <v>839</v>
      </c>
      <c r="W84" s="308" t="s">
        <v>206</v>
      </c>
      <c r="X84" s="295">
        <f>'INT 13&amp;U MX'!O11</f>
        <v>9.4</v>
      </c>
      <c r="Y84" s="283">
        <f t="shared" si="45"/>
        <v>6</v>
      </c>
      <c r="Z84" s="295">
        <f>'INT 13&amp;U MX'!P11</f>
        <v>9.0500000000000007</v>
      </c>
      <c r="AA84" s="283">
        <f t="shared" si="46"/>
        <v>15</v>
      </c>
      <c r="AB84" s="299">
        <f>Table351550535[[#This Row],[Floor4]]+Table351550535[[#This Row],[Vault6]]</f>
        <v>18.450000000000003</v>
      </c>
      <c r="AC84" s="283">
        <f t="shared" si="47"/>
        <v>15</v>
      </c>
    </row>
    <row r="85" spans="1:29">
      <c r="F85" s="1"/>
      <c r="L85" s="81"/>
      <c r="M85" s="102"/>
      <c r="N85" s="110"/>
      <c r="O85" s="73"/>
      <c r="P85" s="73"/>
      <c r="Q85" s="73"/>
      <c r="U85" s="307" t="s">
        <v>1227</v>
      </c>
      <c r="V85" s="318">
        <v>840</v>
      </c>
      <c r="W85" s="308" t="s">
        <v>205</v>
      </c>
      <c r="X85" s="295">
        <f>'INT 13&amp;U MX'!O12</f>
        <v>8.8000000000000007</v>
      </c>
      <c r="Y85" s="283">
        <f t="shared" si="45"/>
        <v>11.999999999999998</v>
      </c>
      <c r="Z85" s="295">
        <f>'INT 13&amp;U MX'!P12</f>
        <v>8.9499999999999993</v>
      </c>
      <c r="AA85" s="283">
        <f t="shared" si="46"/>
        <v>17</v>
      </c>
      <c r="AB85" s="299">
        <f>Table351550535[[#This Row],[Floor4]]+Table351550535[[#This Row],[Vault6]]</f>
        <v>17.75</v>
      </c>
      <c r="AC85" s="283">
        <f t="shared" si="47"/>
        <v>26</v>
      </c>
    </row>
    <row r="86" spans="1:29">
      <c r="F86" s="1"/>
      <c r="L86" s="81"/>
      <c r="M86" s="102"/>
      <c r="N86" s="110"/>
      <c r="O86" s="73"/>
      <c r="P86" s="73"/>
      <c r="Q86" s="73"/>
      <c r="U86" s="307" t="s">
        <v>1227</v>
      </c>
      <c r="V86" s="319">
        <v>841</v>
      </c>
      <c r="W86" s="311" t="s">
        <v>101</v>
      </c>
      <c r="X86" s="295">
        <f>'INT 13&amp;U MX'!O13</f>
        <v>9</v>
      </c>
      <c r="Y86" s="283">
        <f t="shared" si="45"/>
        <v>9.9999999999999964</v>
      </c>
      <c r="Z86" s="295">
        <f>'INT 13&amp;U MX'!P13</f>
        <v>9.65</v>
      </c>
      <c r="AA86" s="283">
        <f t="shared" si="46"/>
        <v>3</v>
      </c>
      <c r="AB86" s="300">
        <f>Table351550535[[#This Row],[Floor4]]+Table351550535[[#This Row],[Vault6]]</f>
        <v>18.649999999999999</v>
      </c>
      <c r="AC86" s="283">
        <f t="shared" si="47"/>
        <v>11</v>
      </c>
    </row>
    <row r="87" spans="1:29">
      <c r="A87" s="102"/>
      <c r="B87" s="110"/>
      <c r="C87" s="73"/>
      <c r="D87" s="73"/>
      <c r="E87" s="73"/>
      <c r="F87" s="1"/>
      <c r="G87" s="102"/>
      <c r="H87" s="110"/>
      <c r="I87" s="73"/>
      <c r="J87" s="73"/>
      <c r="K87" s="73"/>
      <c r="L87" s="81"/>
      <c r="M87" s="102"/>
      <c r="N87" s="107"/>
      <c r="O87" s="73"/>
      <c r="P87" s="73"/>
      <c r="Q87" s="73"/>
    </row>
    <row r="88" spans="1:29">
      <c r="A88" s="102"/>
      <c r="B88" s="110"/>
      <c r="C88" s="73"/>
      <c r="D88" s="73"/>
      <c r="E88" s="73"/>
      <c r="F88" s="1"/>
      <c r="G88" s="102"/>
      <c r="H88" s="110"/>
      <c r="I88" s="73"/>
      <c r="J88" s="73"/>
      <c r="K88" s="73"/>
      <c r="L88" s="81"/>
      <c r="M88" s="102"/>
      <c r="N88" s="107"/>
      <c r="O88" s="73"/>
      <c r="P88" s="73"/>
      <c r="Q88" s="73"/>
    </row>
    <row r="89" spans="1:29">
      <c r="A89" s="102"/>
      <c r="B89" s="110"/>
      <c r="C89" s="73"/>
      <c r="D89" s="73"/>
      <c r="E89" s="73"/>
      <c r="F89" s="1"/>
      <c r="G89" s="102"/>
      <c r="H89" s="110"/>
      <c r="I89" s="73"/>
      <c r="J89" s="73"/>
      <c r="K89" s="73"/>
      <c r="L89" s="81"/>
      <c r="M89" s="102"/>
      <c r="N89" s="110"/>
      <c r="O89" s="73"/>
      <c r="P89" s="73"/>
      <c r="Q89" s="73"/>
    </row>
    <row r="90" spans="1:29">
      <c r="A90" s="102"/>
      <c r="B90" s="110"/>
      <c r="C90" s="73"/>
      <c r="D90" s="73"/>
      <c r="E90" s="68"/>
      <c r="F90" s="106"/>
      <c r="G90" s="102"/>
      <c r="H90" s="110"/>
      <c r="I90" s="73"/>
      <c r="J90" s="73"/>
      <c r="K90" s="68"/>
      <c r="L90" s="81"/>
      <c r="M90" s="102"/>
      <c r="N90" s="104"/>
      <c r="O90" s="64"/>
      <c r="P90" s="64"/>
      <c r="Q90" s="68"/>
    </row>
    <row r="91" spans="1:29">
      <c r="A91" s="1"/>
      <c r="B91" s="104"/>
      <c r="C91" s="64"/>
      <c r="D91" s="64"/>
      <c r="E91" s="105"/>
      <c r="F91" s="106"/>
      <c r="G91" s="1"/>
      <c r="H91" s="104"/>
      <c r="I91" s="64"/>
      <c r="J91" s="64"/>
      <c r="K91" s="105"/>
      <c r="L91" s="81"/>
      <c r="M91" s="1"/>
      <c r="N91" s="121"/>
      <c r="O91" s="1"/>
      <c r="P91" s="104"/>
      <c r="Q91" s="105"/>
    </row>
    <row r="92" spans="1:29">
      <c r="A92" s="1"/>
      <c r="B92" s="121"/>
      <c r="C92" s="1"/>
      <c r="D92" s="104"/>
      <c r="E92" s="115"/>
      <c r="F92" s="1"/>
      <c r="G92" s="1"/>
      <c r="H92" s="121"/>
      <c r="I92" s="1"/>
      <c r="J92" s="104"/>
      <c r="K92" s="115"/>
      <c r="L92" s="81"/>
      <c r="M92" s="1"/>
      <c r="Q92" s="115"/>
    </row>
    <row r="93" spans="1:29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1"/>
      <c r="Q93" s="1"/>
    </row>
    <row r="94" spans="1:29">
      <c r="A94" s="137"/>
      <c r="B94" s="137"/>
      <c r="C94" s="137"/>
      <c r="D94" s="137"/>
      <c r="E94" s="137"/>
      <c r="F94" s="106"/>
      <c r="G94" s="137"/>
      <c r="H94" s="137"/>
      <c r="I94" s="137"/>
      <c r="J94" s="137"/>
      <c r="K94" s="137"/>
      <c r="L94" s="81"/>
      <c r="M94" s="137"/>
      <c r="Q94" s="137"/>
    </row>
    <row r="95" spans="1:29">
      <c r="A95" s="111"/>
      <c r="B95" s="111"/>
      <c r="C95" s="111"/>
      <c r="D95" s="111"/>
      <c r="E95" s="111"/>
      <c r="F95" s="1"/>
      <c r="G95" s="111"/>
      <c r="H95" s="111"/>
      <c r="I95" s="111"/>
      <c r="J95" s="111"/>
      <c r="K95" s="111"/>
      <c r="L95" s="81"/>
      <c r="M95" s="111"/>
      <c r="Q95" s="111"/>
    </row>
    <row r="96" spans="1:29">
      <c r="A96" s="102"/>
      <c r="B96" s="110"/>
      <c r="C96" s="73"/>
      <c r="D96" s="73"/>
      <c r="E96" s="73"/>
      <c r="F96" s="1"/>
      <c r="G96" s="102"/>
      <c r="H96" s="110"/>
      <c r="I96" s="73"/>
      <c r="J96" s="73"/>
      <c r="K96" s="73"/>
      <c r="L96" s="81"/>
      <c r="M96" s="102"/>
      <c r="Q96" s="73"/>
    </row>
    <row r="97" spans="1:17">
      <c r="A97" s="102"/>
      <c r="B97" s="110"/>
      <c r="C97" s="73"/>
      <c r="D97" s="73"/>
      <c r="E97" s="73"/>
      <c r="F97" s="1"/>
      <c r="G97" s="102"/>
      <c r="H97" s="110"/>
      <c r="I97" s="73"/>
      <c r="J97" s="73"/>
      <c r="K97" s="73"/>
      <c r="L97" s="81"/>
      <c r="M97" s="102"/>
      <c r="Q97" s="73"/>
    </row>
    <row r="98" spans="1:17">
      <c r="A98" s="102"/>
      <c r="B98" s="110"/>
      <c r="C98" s="73"/>
      <c r="D98" s="73"/>
      <c r="E98" s="73"/>
      <c r="F98" s="1"/>
      <c r="G98" s="102"/>
      <c r="H98" s="110"/>
      <c r="I98" s="73"/>
      <c r="J98" s="73"/>
      <c r="K98" s="73"/>
      <c r="L98" s="81"/>
      <c r="M98" s="102"/>
      <c r="Q98" s="73"/>
    </row>
    <row r="99" spans="1:17">
      <c r="A99" s="102"/>
      <c r="B99" s="110"/>
      <c r="C99" s="73"/>
      <c r="D99" s="73"/>
      <c r="E99" s="73"/>
      <c r="F99" s="1"/>
      <c r="G99" s="102"/>
      <c r="H99" s="110"/>
      <c r="I99" s="73"/>
      <c r="J99" s="73"/>
      <c r="K99" s="73"/>
      <c r="L99" s="81"/>
      <c r="M99" s="102"/>
      <c r="Q99" s="73"/>
    </row>
    <row r="100" spans="1:17">
      <c r="A100" s="102"/>
      <c r="B100" s="110"/>
      <c r="C100" s="73"/>
      <c r="D100" s="73"/>
      <c r="E100" s="73"/>
      <c r="F100" s="1"/>
      <c r="G100" s="102"/>
      <c r="H100" s="110"/>
      <c r="I100" s="73"/>
      <c r="J100" s="73"/>
      <c r="K100" s="73"/>
      <c r="L100" s="81"/>
      <c r="M100" s="102"/>
      <c r="Q100" s="73"/>
    </row>
    <row r="101" spans="1:17">
      <c r="A101" s="102"/>
      <c r="B101" s="110"/>
      <c r="C101" s="73"/>
      <c r="D101" s="73"/>
      <c r="E101" s="68"/>
      <c r="F101" s="106"/>
      <c r="G101" s="102"/>
      <c r="H101" s="110"/>
      <c r="I101" s="73"/>
      <c r="J101" s="73"/>
      <c r="K101" s="68"/>
      <c r="L101" s="81"/>
      <c r="M101" s="102"/>
      <c r="Q101" s="68"/>
    </row>
    <row r="102" spans="1:17">
      <c r="A102" s="1"/>
      <c r="B102" s="104"/>
      <c r="C102" s="64"/>
      <c r="D102" s="64"/>
      <c r="E102" s="105"/>
      <c r="F102" s="106"/>
      <c r="G102" s="1"/>
      <c r="H102" s="104"/>
      <c r="I102" s="64"/>
      <c r="J102" s="64"/>
      <c r="K102" s="105"/>
      <c r="L102" s="81"/>
      <c r="M102" s="1"/>
      <c r="Q102" s="105"/>
    </row>
    <row r="103" spans="1:17">
      <c r="A103" s="1"/>
      <c r="B103" s="121"/>
      <c r="C103" s="1"/>
      <c r="D103" s="104"/>
      <c r="E103" s="115"/>
      <c r="F103" s="1"/>
      <c r="G103" s="1"/>
      <c r="H103" s="121"/>
      <c r="I103" s="1"/>
      <c r="J103" s="104"/>
      <c r="K103" s="115"/>
      <c r="L103" s="81"/>
      <c r="M103" s="1"/>
      <c r="Q103" s="115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Q104" s="1"/>
    </row>
    <row r="105" spans="1:17">
      <c r="A105" s="122"/>
      <c r="B105" s="137"/>
      <c r="C105" s="137"/>
      <c r="D105" s="137"/>
      <c r="E105" s="137"/>
      <c r="F105" s="1"/>
      <c r="G105" s="137"/>
      <c r="H105" s="137"/>
      <c r="I105" s="137"/>
      <c r="J105" s="137"/>
      <c r="K105" s="137"/>
      <c r="L105" s="81"/>
      <c r="M105" s="137"/>
      <c r="Q105" s="137"/>
    </row>
    <row r="106" spans="1:17">
      <c r="A106" s="111"/>
      <c r="B106" s="111"/>
      <c r="C106" s="111"/>
      <c r="D106" s="111"/>
      <c r="E106" s="111"/>
      <c r="F106" s="1"/>
      <c r="G106" s="111"/>
      <c r="H106" s="111"/>
      <c r="I106" s="111"/>
      <c r="J106" s="111"/>
      <c r="K106" s="111"/>
      <c r="L106" s="81"/>
      <c r="M106" s="111"/>
      <c r="Q106" s="111"/>
    </row>
    <row r="107" spans="1:17">
      <c r="A107" s="102"/>
      <c r="B107" s="110"/>
      <c r="C107" s="73"/>
      <c r="D107" s="73"/>
      <c r="E107" s="73"/>
      <c r="F107" s="1"/>
      <c r="G107" s="102"/>
      <c r="H107" s="110"/>
      <c r="I107" s="73"/>
      <c r="J107" s="73"/>
      <c r="K107" s="73"/>
      <c r="L107" s="81"/>
      <c r="M107" s="102"/>
      <c r="Q107" s="73"/>
    </row>
    <row r="108" spans="1:17">
      <c r="A108" s="102"/>
      <c r="B108" s="110"/>
      <c r="C108" s="73"/>
      <c r="D108" s="73"/>
      <c r="E108" s="73"/>
      <c r="F108" s="1"/>
      <c r="G108" s="102"/>
      <c r="H108" s="110"/>
      <c r="I108" s="73"/>
      <c r="J108" s="73"/>
      <c r="K108" s="73"/>
      <c r="L108" s="81"/>
      <c r="M108" s="102"/>
      <c r="Q108" s="73"/>
    </row>
    <row r="109" spans="1:17">
      <c r="A109" s="102"/>
      <c r="B109" s="110"/>
      <c r="C109" s="73"/>
      <c r="D109" s="73"/>
      <c r="E109" s="73"/>
      <c r="F109" s="1"/>
      <c r="G109" s="102"/>
      <c r="H109" s="110"/>
      <c r="I109" s="73"/>
      <c r="J109" s="73"/>
      <c r="K109" s="73"/>
      <c r="L109" s="81"/>
      <c r="M109" s="102"/>
      <c r="Q109" s="73"/>
    </row>
    <row r="110" spans="1:17">
      <c r="A110" s="102"/>
      <c r="B110" s="107"/>
      <c r="C110" s="73"/>
      <c r="D110" s="73"/>
      <c r="E110" s="73"/>
      <c r="F110" s="1"/>
      <c r="G110" s="102"/>
      <c r="H110" s="107"/>
      <c r="I110" s="73"/>
      <c r="J110" s="73"/>
      <c r="K110" s="73"/>
      <c r="L110" s="81"/>
      <c r="M110" s="102"/>
      <c r="Q110" s="73"/>
    </row>
    <row r="111" spans="1:17">
      <c r="A111" s="102"/>
      <c r="B111" s="107"/>
      <c r="C111" s="73"/>
      <c r="D111" s="73"/>
      <c r="E111" s="73"/>
      <c r="F111" s="1"/>
      <c r="G111" s="102"/>
      <c r="H111" s="107"/>
      <c r="I111" s="73"/>
      <c r="J111" s="73"/>
      <c r="K111" s="73"/>
      <c r="L111" s="81"/>
      <c r="M111" s="102"/>
      <c r="Q111" s="73"/>
    </row>
    <row r="112" spans="1:17">
      <c r="A112" s="102"/>
      <c r="B112" s="110"/>
      <c r="C112" s="73"/>
      <c r="D112" s="73"/>
      <c r="E112" s="68"/>
      <c r="F112" s="1"/>
      <c r="G112" s="102"/>
      <c r="H112" s="110"/>
      <c r="I112" s="73"/>
      <c r="J112" s="73"/>
      <c r="K112" s="68"/>
      <c r="L112" s="81"/>
      <c r="M112" s="102"/>
      <c r="Q112" s="68"/>
    </row>
    <row r="113" spans="1:17">
      <c r="A113" s="1"/>
      <c r="B113" s="104"/>
      <c r="C113" s="64"/>
      <c r="D113" s="64"/>
      <c r="E113" s="105"/>
      <c r="F113" s="1"/>
      <c r="G113" s="1"/>
      <c r="H113" s="104"/>
      <c r="I113" s="64"/>
      <c r="J113" s="64"/>
      <c r="K113" s="105"/>
      <c r="L113" s="81"/>
      <c r="M113" s="1"/>
      <c r="Q113" s="105"/>
    </row>
    <row r="114" spans="1:17">
      <c r="A114" s="1"/>
      <c r="B114" s="121"/>
      <c r="C114" s="1"/>
      <c r="D114" s="104"/>
      <c r="E114" s="115"/>
      <c r="F114" s="1"/>
      <c r="G114" s="1"/>
      <c r="H114" s="121"/>
      <c r="I114" s="1"/>
      <c r="J114" s="104"/>
      <c r="K114" s="115"/>
      <c r="L114" s="1"/>
      <c r="M114" s="1"/>
      <c r="Q114" s="115"/>
    </row>
    <row r="116" spans="1:17">
      <c r="G116" s="137"/>
      <c r="H116" s="137"/>
      <c r="I116" s="137"/>
      <c r="J116" s="137"/>
      <c r="K116" s="137"/>
    </row>
    <row r="117" spans="1:17">
      <c r="G117" s="77"/>
      <c r="H117" s="77"/>
      <c r="I117" s="77"/>
      <c r="J117" s="77"/>
      <c r="K117" s="77"/>
    </row>
    <row r="118" spans="1:17">
      <c r="G118" s="80"/>
      <c r="H118" s="107"/>
      <c r="I118" s="68"/>
      <c r="J118" s="68"/>
      <c r="K118" s="68"/>
    </row>
    <row r="119" spans="1:17">
      <c r="G119" s="102"/>
      <c r="H119" s="103"/>
      <c r="I119" s="73"/>
      <c r="J119" s="73"/>
      <c r="K119" s="73"/>
    </row>
    <row r="120" spans="1:17">
      <c r="G120" s="102"/>
      <c r="H120" s="103"/>
      <c r="I120" s="73"/>
      <c r="J120" s="73"/>
      <c r="K120" s="73"/>
    </row>
    <row r="129" spans="1:11">
      <c r="A129" s="1"/>
      <c r="B129" s="1"/>
      <c r="C129" s="1"/>
      <c r="D129" s="1"/>
      <c r="E129" s="1"/>
    </row>
    <row r="130" spans="1:11">
      <c r="A130" s="102"/>
      <c r="B130" s="110"/>
      <c r="C130" s="110"/>
      <c r="D130" s="110"/>
      <c r="E130" s="73"/>
      <c r="G130" s="102"/>
      <c r="H130" s="103"/>
      <c r="I130" s="73"/>
      <c r="J130" s="73"/>
      <c r="K130" s="73"/>
    </row>
    <row r="131" spans="1:11">
      <c r="A131" s="102"/>
      <c r="B131" s="110"/>
      <c r="C131" s="110"/>
      <c r="D131" s="110"/>
      <c r="E131" s="73"/>
      <c r="G131" s="102"/>
      <c r="H131" s="103"/>
      <c r="I131" s="73"/>
      <c r="J131" s="73"/>
      <c r="K131" s="73"/>
    </row>
    <row r="132" spans="1:11">
      <c r="A132" s="102"/>
      <c r="B132" s="110"/>
      <c r="C132" s="110"/>
      <c r="D132" s="110"/>
      <c r="E132" s="68"/>
      <c r="G132" s="102"/>
      <c r="H132" s="103"/>
      <c r="I132" s="73"/>
      <c r="J132" s="73"/>
      <c r="K132" s="68"/>
    </row>
    <row r="133" spans="1:11">
      <c r="A133" s="1"/>
      <c r="B133" s="104"/>
      <c r="C133" s="64"/>
      <c r="D133" s="64"/>
      <c r="E133" s="105"/>
      <c r="G133" s="1"/>
      <c r="H133" s="104"/>
      <c r="I133" s="64"/>
      <c r="J133" s="64"/>
      <c r="K133" s="105"/>
    </row>
  </sheetData>
  <mergeCells count="3">
    <mergeCell ref="A1:AC1"/>
    <mergeCell ref="A2:AC2"/>
    <mergeCell ref="G4:I4"/>
  </mergeCells>
  <phoneticPr fontId="21" type="noConversion"/>
  <conditionalFormatting sqref="AA7:AA86 Y7:Y86 AC7:AC86">
    <cfRule type="cellIs" dxfId="699" priority="4" operator="equal">
      <formula>3</formula>
    </cfRule>
    <cfRule type="cellIs" dxfId="698" priority="5" operator="equal">
      <formula>2</formula>
    </cfRule>
    <cfRule type="cellIs" dxfId="697" priority="6" operator="equal">
      <formula>1</formula>
    </cfRule>
  </conditionalFormatting>
  <conditionalFormatting sqref="P51:P63">
    <cfRule type="cellIs" dxfId="696" priority="10" operator="equal">
      <formula>3</formula>
    </cfRule>
    <cfRule type="cellIs" dxfId="695" priority="11" operator="equal">
      <formula>2</formula>
    </cfRule>
    <cfRule type="cellIs" dxfId="694" priority="12" operator="equal">
      <formula>1</formula>
    </cfRule>
  </conditionalFormatting>
  <pageMargins left="0.75" right="0.75" top="1" bottom="1" header="0.5" footer="0.5"/>
  <pageSetup paperSize="9" scale="31" orientation="landscape" horizontalDpi="4294967292" verticalDpi="4294967292"/>
  <rowBreaks count="1" manualBreakCount="1">
    <brk id="87" max="16383" man="1"/>
  </rowBreaks>
  <colBreaks count="1" manualBreakCount="1">
    <brk id="29" max="1048575" man="1"/>
  </colBreaks>
  <ignoredErrors>
    <ignoredError sqref="Z7:Z77 Z78:Z86" formula="1"/>
  </ignoredErrors>
  <tableParts count="2">
    <tablePart r:id="rId1"/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D24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5" bestFit="1" customWidth="1"/>
    <col min="2" max="2" width="4.625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4.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  <col min="34" max="34" width="0.5" customWidth="1"/>
  </cols>
  <sheetData>
    <row r="1" spans="1:8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8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"/>
      <c r="BI2" s="2"/>
    </row>
    <row r="3" spans="1:82" ht="23.25"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21">
      <c r="A4" s="8"/>
      <c r="F4" s="1"/>
      <c r="G4" s="1"/>
      <c r="H4" s="1"/>
      <c r="I4" s="1"/>
      <c r="J4" s="1"/>
      <c r="K4" s="1"/>
      <c r="L4" s="467" t="s">
        <v>1064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>
      <c r="V5" s="1"/>
    </row>
    <row r="6" spans="1:82">
      <c r="A6" s="470" t="s">
        <v>1047</v>
      </c>
      <c r="B6" s="471"/>
      <c r="C6" s="471"/>
      <c r="D6" s="471"/>
      <c r="E6" s="471"/>
      <c r="F6" s="472"/>
      <c r="G6" s="8"/>
      <c r="H6" s="8"/>
      <c r="I6" s="8"/>
      <c r="J6" s="8"/>
      <c r="K6" s="8"/>
      <c r="L6" s="470" t="s">
        <v>511</v>
      </c>
      <c r="M6" s="471"/>
      <c r="N6" s="471"/>
      <c r="O6" s="471"/>
      <c r="P6" s="471"/>
      <c r="Q6" s="472"/>
      <c r="R6" s="8"/>
      <c r="S6" s="8"/>
      <c r="T6" s="8"/>
      <c r="U6" s="8"/>
      <c r="V6" s="8"/>
      <c r="W6" s="113"/>
      <c r="X6" s="113"/>
      <c r="Y6" s="39" t="s">
        <v>12</v>
      </c>
      <c r="Z6" s="43" t="s">
        <v>5</v>
      </c>
      <c r="AA6" s="44" t="s">
        <v>11</v>
      </c>
      <c r="AB6" s="113"/>
      <c r="AC6" s="8"/>
      <c r="AD6" s="8"/>
      <c r="AE6" s="8"/>
      <c r="AF6" s="8"/>
      <c r="AG6" s="8"/>
    </row>
    <row r="7" spans="1:82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11"/>
      <c r="I7" s="11" t="s">
        <v>7</v>
      </c>
      <c r="J7" s="11"/>
      <c r="L7" s="9" t="s">
        <v>0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R7" s="10" t="s">
        <v>6</v>
      </c>
      <c r="S7" s="11"/>
      <c r="T7" s="11" t="s">
        <v>7</v>
      </c>
      <c r="U7" s="11"/>
      <c r="W7" s="111"/>
      <c r="X7" s="111"/>
      <c r="Y7" s="45" t="s">
        <v>1285</v>
      </c>
      <c r="Z7" s="47">
        <f>F14</f>
        <v>68.75</v>
      </c>
      <c r="AA7" s="40">
        <f>SUMPRODUCT((Z$7:Z$8&gt;Z7)/COUNTIF(Z$7:Z$8,Z$7:Z$8&amp;""))+1</f>
        <v>2</v>
      </c>
      <c r="AB7" s="111"/>
      <c r="AC7" s="112" t="s">
        <v>6</v>
      </c>
      <c r="AD7" s="11"/>
      <c r="AE7" s="11" t="s">
        <v>7</v>
      </c>
      <c r="AF7" s="11"/>
    </row>
    <row r="8" spans="1:82">
      <c r="A8" s="12" t="s">
        <v>8</v>
      </c>
      <c r="B8" s="149">
        <v>830</v>
      </c>
      <c r="C8" s="93" t="s">
        <v>1060</v>
      </c>
      <c r="D8" s="13">
        <v>8.6999999999999993</v>
      </c>
      <c r="E8" s="13">
        <v>8.5</v>
      </c>
      <c r="F8" s="13">
        <f>SUM(D8:E8)</f>
        <v>17.2</v>
      </c>
      <c r="G8" s="11">
        <f t="shared" ref="G8:G13" si="0">IF(A8="M",D8)</f>
        <v>8.6999999999999993</v>
      </c>
      <c r="H8" s="11" t="b">
        <f t="shared" ref="H8:H13" si="1">IF(A8="F",D8)</f>
        <v>0</v>
      </c>
      <c r="I8" s="11">
        <f t="shared" ref="I8:I13" si="2">IF(A8="M",E8)</f>
        <v>8.5</v>
      </c>
      <c r="J8" s="11" t="b">
        <f t="shared" ref="J8:J13" si="3">IF(A8="F",E8)</f>
        <v>0</v>
      </c>
      <c r="L8" s="12" t="s">
        <v>8</v>
      </c>
      <c r="M8" s="149">
        <v>836</v>
      </c>
      <c r="N8" s="93" t="s">
        <v>203</v>
      </c>
      <c r="O8" s="13">
        <v>8.8000000000000007</v>
      </c>
      <c r="P8" s="13">
        <v>8.35</v>
      </c>
      <c r="Q8" s="13">
        <f>SUM(O8:P8)</f>
        <v>17.149999999999999</v>
      </c>
      <c r="R8" s="11">
        <f t="shared" ref="R8:R13" si="4">IF(L8="M",O8)</f>
        <v>8.8000000000000007</v>
      </c>
      <c r="S8" s="11" t="b">
        <f t="shared" ref="S8:S13" si="5">IF(L8="F",O8)</f>
        <v>0</v>
      </c>
      <c r="T8" s="11">
        <f t="shared" ref="T8:T13" si="6">IF(L8="M",P8)</f>
        <v>8.35</v>
      </c>
      <c r="U8" s="11" t="b">
        <f t="shared" ref="U8:U13" si="7">IF(L8="F",P8)</f>
        <v>0</v>
      </c>
      <c r="W8" s="102"/>
      <c r="X8" s="152"/>
      <c r="Y8" s="45" t="s">
        <v>218</v>
      </c>
      <c r="Z8" s="47">
        <f>Q14</f>
        <v>71.75</v>
      </c>
      <c r="AA8" s="40">
        <f>SUMPRODUCT((Z$7:Z$8&gt;Z8)/COUNTIF(Z$7:Z$8,Z$7:Z$8&amp;""))+1</f>
        <v>1</v>
      </c>
      <c r="AB8" s="73"/>
      <c r="AC8" s="11" t="b">
        <f>IF(W8="M",#REF!)</f>
        <v>0</v>
      </c>
      <c r="AD8" s="11" t="b">
        <f>IF(W8="F",#REF!)</f>
        <v>0</v>
      </c>
      <c r="AE8" s="11" t="b">
        <f>IF(W8="M",#REF!)</f>
        <v>0</v>
      </c>
      <c r="AF8" s="11" t="b">
        <f>IF(W8="F",#REF!)</f>
        <v>0</v>
      </c>
    </row>
    <row r="9" spans="1:82">
      <c r="A9" s="12" t="s">
        <v>8</v>
      </c>
      <c r="B9" s="149">
        <v>831</v>
      </c>
      <c r="C9" s="93" t="s">
        <v>1061</v>
      </c>
      <c r="D9" s="13">
        <v>8.4</v>
      </c>
      <c r="E9" s="13">
        <v>8.4</v>
      </c>
      <c r="F9" s="13">
        <f>SUM(D9:E9)</f>
        <v>16.8</v>
      </c>
      <c r="G9" s="11">
        <f t="shared" si="0"/>
        <v>8.4</v>
      </c>
      <c r="H9" s="11" t="b">
        <f t="shared" si="1"/>
        <v>0</v>
      </c>
      <c r="I9" s="11">
        <f t="shared" si="2"/>
        <v>8.4</v>
      </c>
      <c r="J9" s="11" t="b">
        <f t="shared" si="3"/>
        <v>0</v>
      </c>
      <c r="L9" s="12" t="s">
        <v>8</v>
      </c>
      <c r="M9" s="149">
        <v>837</v>
      </c>
      <c r="N9" s="93" t="s">
        <v>194</v>
      </c>
      <c r="O9" s="13">
        <v>8.5</v>
      </c>
      <c r="P9" s="13">
        <v>8.8000000000000007</v>
      </c>
      <c r="Q9" s="13">
        <f>SUM(O9:P9)</f>
        <v>17.3</v>
      </c>
      <c r="R9" s="11">
        <f t="shared" si="4"/>
        <v>8.5</v>
      </c>
      <c r="S9" s="11" t="b">
        <f t="shared" si="5"/>
        <v>0</v>
      </c>
      <c r="T9" s="11">
        <f t="shared" si="6"/>
        <v>8.8000000000000007</v>
      </c>
      <c r="U9" s="11" t="b">
        <f t="shared" si="7"/>
        <v>0</v>
      </c>
      <c r="W9" s="102"/>
      <c r="X9" s="152"/>
      <c r="Y9" s="54"/>
      <c r="Z9" s="62"/>
      <c r="AA9" s="210"/>
      <c r="AB9" s="73"/>
      <c r="AC9" s="11" t="b">
        <f>IF(W9="M",#REF!)</f>
        <v>0</v>
      </c>
      <c r="AD9" s="11" t="b">
        <f>IF(W9="F",#REF!)</f>
        <v>0</v>
      </c>
      <c r="AE9" s="11" t="b">
        <f>IF(W9="M",#REF!)</f>
        <v>0</v>
      </c>
      <c r="AF9" s="11" t="b">
        <f>IF(W9="F",#REF!)</f>
        <v>0</v>
      </c>
    </row>
    <row r="10" spans="1:82">
      <c r="A10" s="12" t="s">
        <v>8</v>
      </c>
      <c r="B10" s="149">
        <v>832</v>
      </c>
      <c r="C10" s="229"/>
      <c r="D10" s="13">
        <v>0</v>
      </c>
      <c r="E10" s="13">
        <v>0</v>
      </c>
      <c r="F10" s="13">
        <f t="shared" ref="F10:F13" si="8">SUM(D10:E10)</f>
        <v>0</v>
      </c>
      <c r="G10" s="11">
        <f t="shared" si="0"/>
        <v>0</v>
      </c>
      <c r="H10" s="11" t="b">
        <f t="shared" si="1"/>
        <v>0</v>
      </c>
      <c r="I10" s="11">
        <f t="shared" si="2"/>
        <v>0</v>
      </c>
      <c r="J10" s="11" t="b">
        <f t="shared" si="3"/>
        <v>0</v>
      </c>
      <c r="L10" s="12" t="s">
        <v>9</v>
      </c>
      <c r="M10" s="149">
        <v>838</v>
      </c>
      <c r="N10" s="93" t="s">
        <v>207</v>
      </c>
      <c r="O10" s="13">
        <v>9.1999999999999993</v>
      </c>
      <c r="P10" s="13">
        <v>8.85</v>
      </c>
      <c r="Q10" s="13">
        <f t="shared" ref="Q10:Q13" si="9">SUM(O10:P10)</f>
        <v>18.049999999999997</v>
      </c>
      <c r="R10" s="11" t="b">
        <f t="shared" si="4"/>
        <v>0</v>
      </c>
      <c r="S10" s="11">
        <f t="shared" si="5"/>
        <v>9.1999999999999993</v>
      </c>
      <c r="T10" s="11" t="b">
        <f t="shared" si="6"/>
        <v>0</v>
      </c>
      <c r="U10" s="11">
        <f t="shared" si="7"/>
        <v>8.85</v>
      </c>
      <c r="W10" s="102"/>
      <c r="X10" s="152"/>
      <c r="Y10" s="110"/>
      <c r="Z10" s="68"/>
      <c r="AA10" s="68"/>
      <c r="AB10" s="73"/>
      <c r="AC10" s="11" t="b">
        <f>IF(W10="M",#REF!)</f>
        <v>0</v>
      </c>
      <c r="AD10" s="11" t="b">
        <f>IF(W10="F",#REF!)</f>
        <v>0</v>
      </c>
      <c r="AE10" s="11" t="b">
        <f>IF(W10="M",#REF!)</f>
        <v>0</v>
      </c>
      <c r="AF10" s="11" t="b">
        <f>IF(W10="F",#REF!)</f>
        <v>0</v>
      </c>
    </row>
    <row r="11" spans="1:82">
      <c r="A11" s="12" t="s">
        <v>9</v>
      </c>
      <c r="B11" s="149">
        <v>833</v>
      </c>
      <c r="C11" s="93" t="s">
        <v>1062</v>
      </c>
      <c r="D11" s="14">
        <v>8.8000000000000007</v>
      </c>
      <c r="E11" s="14">
        <v>8.3000000000000007</v>
      </c>
      <c r="F11" s="13">
        <f t="shared" si="8"/>
        <v>17.100000000000001</v>
      </c>
      <c r="G11" s="15" t="b">
        <f t="shared" si="0"/>
        <v>0</v>
      </c>
      <c r="H11" s="15">
        <f t="shared" si="1"/>
        <v>8.8000000000000007</v>
      </c>
      <c r="I11" s="15" t="b">
        <f t="shared" si="2"/>
        <v>0</v>
      </c>
      <c r="J11" s="15">
        <f t="shared" si="3"/>
        <v>8.3000000000000007</v>
      </c>
      <c r="K11" s="8"/>
      <c r="L11" s="12" t="s">
        <v>9</v>
      </c>
      <c r="M11" s="149">
        <v>839</v>
      </c>
      <c r="N11" s="93" t="s">
        <v>206</v>
      </c>
      <c r="O11" s="14">
        <v>9.4</v>
      </c>
      <c r="P11" s="14">
        <v>9.0500000000000007</v>
      </c>
      <c r="Q11" s="13">
        <f t="shared" si="9"/>
        <v>18.450000000000003</v>
      </c>
      <c r="R11" s="15" t="b">
        <f t="shared" si="4"/>
        <v>0</v>
      </c>
      <c r="S11" s="15">
        <f t="shared" si="5"/>
        <v>9.4</v>
      </c>
      <c r="T11" s="15" t="b">
        <f t="shared" si="6"/>
        <v>0</v>
      </c>
      <c r="U11" s="15">
        <f t="shared" si="7"/>
        <v>9.0500000000000007</v>
      </c>
      <c r="V11" s="8"/>
      <c r="W11" s="102"/>
      <c r="X11" s="152"/>
      <c r="Y11" s="110"/>
      <c r="Z11" s="68"/>
      <c r="AA11" s="68"/>
      <c r="AB11" s="73"/>
      <c r="AC11" s="15" t="b">
        <f>IF(W11="M",#REF!)</f>
        <v>0</v>
      </c>
      <c r="AD11" s="15" t="b">
        <f>IF(W11="F",#REF!)</f>
        <v>0</v>
      </c>
      <c r="AE11" s="15" t="b">
        <f>IF(W11="M",#REF!)</f>
        <v>0</v>
      </c>
      <c r="AF11" s="15" t="b">
        <f>IF(W11="F",#REF!)</f>
        <v>0</v>
      </c>
      <c r="AG11" s="8"/>
    </row>
    <row r="12" spans="1:82">
      <c r="A12" s="12" t="s">
        <v>9</v>
      </c>
      <c r="B12" s="149">
        <v>834</v>
      </c>
      <c r="C12" s="93" t="s">
        <v>1063</v>
      </c>
      <c r="D12" s="14">
        <v>9.1999999999999993</v>
      </c>
      <c r="E12" s="14">
        <v>8.4499999999999993</v>
      </c>
      <c r="F12" s="13">
        <f t="shared" si="8"/>
        <v>17.649999999999999</v>
      </c>
      <c r="G12" s="15" t="b">
        <f t="shared" si="0"/>
        <v>0</v>
      </c>
      <c r="H12" s="15">
        <f t="shared" si="1"/>
        <v>9.1999999999999993</v>
      </c>
      <c r="I12" s="15" t="b">
        <f t="shared" si="2"/>
        <v>0</v>
      </c>
      <c r="J12" s="15">
        <f t="shared" si="3"/>
        <v>8.4499999999999993</v>
      </c>
      <c r="K12" s="8"/>
      <c r="L12" s="12" t="s">
        <v>9</v>
      </c>
      <c r="M12" s="149">
        <v>840</v>
      </c>
      <c r="N12" s="93" t="s">
        <v>205</v>
      </c>
      <c r="O12" s="14">
        <v>8.8000000000000007</v>
      </c>
      <c r="P12" s="14">
        <v>8.9499999999999993</v>
      </c>
      <c r="Q12" s="13">
        <f t="shared" si="9"/>
        <v>17.75</v>
      </c>
      <c r="R12" s="15" t="b">
        <f t="shared" si="4"/>
        <v>0</v>
      </c>
      <c r="S12" s="15">
        <f t="shared" si="5"/>
        <v>8.8000000000000007</v>
      </c>
      <c r="T12" s="15" t="b">
        <f t="shared" si="6"/>
        <v>0</v>
      </c>
      <c r="U12" s="15">
        <f t="shared" si="7"/>
        <v>8.9499999999999993</v>
      </c>
      <c r="V12" s="8"/>
      <c r="W12" s="102"/>
      <c r="X12" s="152"/>
      <c r="Y12" s="110"/>
      <c r="Z12" s="68"/>
      <c r="AA12" s="68"/>
      <c r="AB12" s="73"/>
      <c r="AC12" s="15" t="b">
        <f>IF(W12="M",Z9)</f>
        <v>0</v>
      </c>
      <c r="AD12" s="15" t="b">
        <f>IF(W12="F",Z9)</f>
        <v>0</v>
      </c>
      <c r="AE12" s="15" t="b">
        <f>IF(W12="M",AA9)</f>
        <v>0</v>
      </c>
      <c r="AF12" s="15" t="b">
        <f>IF(W12="F",AA9)</f>
        <v>0</v>
      </c>
      <c r="AG12" s="8"/>
    </row>
    <row r="13" spans="1:82" ht="16.5" thickBot="1">
      <c r="A13" s="12" t="s">
        <v>9</v>
      </c>
      <c r="B13" s="149">
        <v>835</v>
      </c>
      <c r="C13" s="97"/>
      <c r="D13" s="14">
        <v>0</v>
      </c>
      <c r="E13" s="14">
        <v>0</v>
      </c>
      <c r="F13" s="13">
        <f t="shared" si="8"/>
        <v>0</v>
      </c>
      <c r="G13" s="15" t="b">
        <f t="shared" si="0"/>
        <v>0</v>
      </c>
      <c r="H13" s="15">
        <f t="shared" si="1"/>
        <v>0</v>
      </c>
      <c r="I13" s="15" t="b">
        <f t="shared" si="2"/>
        <v>0</v>
      </c>
      <c r="J13" s="15">
        <f t="shared" si="3"/>
        <v>0</v>
      </c>
      <c r="K13" s="8"/>
      <c r="L13" s="12" t="s">
        <v>9</v>
      </c>
      <c r="M13" s="149">
        <v>841</v>
      </c>
      <c r="N13" s="93" t="s">
        <v>101</v>
      </c>
      <c r="O13" s="14">
        <v>9</v>
      </c>
      <c r="P13" s="14">
        <v>9.65</v>
      </c>
      <c r="Q13" s="13">
        <f t="shared" si="9"/>
        <v>18.649999999999999</v>
      </c>
      <c r="R13" s="15" t="b">
        <f t="shared" si="4"/>
        <v>0</v>
      </c>
      <c r="S13" s="15">
        <f t="shared" si="5"/>
        <v>9</v>
      </c>
      <c r="T13" s="15" t="b">
        <f t="shared" si="6"/>
        <v>0</v>
      </c>
      <c r="U13" s="15">
        <f t="shared" si="7"/>
        <v>9.65</v>
      </c>
      <c r="V13" s="8"/>
      <c r="W13" s="102"/>
      <c r="X13" s="152"/>
      <c r="Y13" s="84"/>
      <c r="Z13" s="64"/>
      <c r="AA13" s="64"/>
      <c r="AB13" s="73"/>
      <c r="AC13" s="15" t="b">
        <f>IF(W13="M",Z10)</f>
        <v>0</v>
      </c>
      <c r="AD13" s="15" t="b">
        <f>IF(W13="F",Z10)</f>
        <v>0</v>
      </c>
      <c r="AE13" s="15" t="b">
        <f>IF(W13="M",AA10)</f>
        <v>0</v>
      </c>
      <c r="AF13" s="15" t="b">
        <f>IF(W13="F",AA10)</f>
        <v>0</v>
      </c>
      <c r="AG13" s="8"/>
    </row>
    <row r="14" spans="1:82" ht="16.5" thickBot="1">
      <c r="A14" s="8"/>
      <c r="B14" s="8"/>
      <c r="C14" s="18" t="s">
        <v>10</v>
      </c>
      <c r="D14" s="19">
        <f>G15+H15</f>
        <v>35.1</v>
      </c>
      <c r="E14" s="19">
        <f>I15+J15</f>
        <v>33.65</v>
      </c>
      <c r="F14" s="20">
        <f>SUM(D14:E14)</f>
        <v>68.75</v>
      </c>
      <c r="G14" s="8">
        <f>COUNTIF(A8:A13,"M")</f>
        <v>3</v>
      </c>
      <c r="H14" s="8">
        <f>COUNTIF(A8:A13,"F")</f>
        <v>3</v>
      </c>
      <c r="I14" s="8">
        <f>COUNTIF(A8:A13,"M")</f>
        <v>3</v>
      </c>
      <c r="J14" s="8">
        <f>COUNTIF(A8:A13,"F")</f>
        <v>3</v>
      </c>
      <c r="K14" s="8"/>
      <c r="L14" s="8"/>
      <c r="M14" s="8"/>
      <c r="N14" s="18" t="s">
        <v>10</v>
      </c>
      <c r="O14" s="19">
        <f>R15+S15</f>
        <v>35.900000000000006</v>
      </c>
      <c r="P14" s="19">
        <f>T15+U15</f>
        <v>35.849999999999994</v>
      </c>
      <c r="Q14" s="20">
        <f>SUM(O14:P14)</f>
        <v>71.75</v>
      </c>
      <c r="R14" s="8">
        <f>COUNTIF(L8:L13,"M")</f>
        <v>2</v>
      </c>
      <c r="S14" s="8">
        <f>COUNTIF(L8:L13,"F")</f>
        <v>4</v>
      </c>
      <c r="T14" s="8">
        <f>COUNTIF(L8:L13,"M")</f>
        <v>2</v>
      </c>
      <c r="U14" s="8">
        <f>COUNTIF(L8:L13,"F")</f>
        <v>4</v>
      </c>
      <c r="V14" s="8"/>
      <c r="W14" s="106"/>
      <c r="X14" s="106"/>
      <c r="AB14" s="105"/>
      <c r="AC14" s="8">
        <f>COUNTIF(W8:W13,"M")</f>
        <v>0</v>
      </c>
      <c r="AD14" s="8">
        <f>COUNTIF(W8:W13,"F")</f>
        <v>0</v>
      </c>
      <c r="AE14" s="8">
        <f>COUNTIF(W8:W13,"M")</f>
        <v>0</v>
      </c>
      <c r="AF14" s="8">
        <f>COUNTIF(W8:W13,"F")</f>
        <v>0</v>
      </c>
      <c r="AG14" s="8"/>
    </row>
    <row r="15" spans="1:82">
      <c r="C15" s="94" t="s">
        <v>1302</v>
      </c>
      <c r="D15" s="8"/>
      <c r="E15" s="18"/>
      <c r="F15" s="22"/>
      <c r="G15" s="23">
        <f>IF(G14=2,SUM(G8:G13),IF(G14=3,SUM(G8:G13)-SMALL(G8:G13,1),IF(G14=4,SUM(G8:G13)-SMALL(G8:G13,1)-SMALL(G8:G13,2))))</f>
        <v>17.100000000000001</v>
      </c>
      <c r="H15" s="23">
        <f>IF(H14=2,SUM(H8:H13),IF(H14=3,SUM(H8:H13)-SMALL(H8:H13,1),IF(H14=4,SUM(H8:H13)-SMALL(H8:H13,1)-SMALL(H8:H13,2))))</f>
        <v>18</v>
      </c>
      <c r="I15" s="23">
        <f>IF(I14=2,SUM(I8:I13),IF(I14=3,SUM(I8:I13)-SMALL(I8:I13,1),IF(I14=4,SUM(I8:I13)-SMALL(I8:I13,1)-SMALL(I8:I13,2))))</f>
        <v>16.899999999999999</v>
      </c>
      <c r="J15" s="23">
        <f>IF(J14=2,SUM(J8:J13),IF(J14=3,SUM(J8:J13)-SMALL(J8:J13,1),IF(J14=4,SUM(J8:J13)-SMALL(J8:J13,1)-SMALL(J8:J13,2))))</f>
        <v>16.75</v>
      </c>
      <c r="K15" s="8"/>
      <c r="N15" s="94" t="s">
        <v>1302</v>
      </c>
      <c r="O15" s="8"/>
      <c r="P15" s="18"/>
      <c r="Q15" s="22"/>
      <c r="R15" s="23">
        <f>IF(R14=2,SUM(R8:R13),IF(R14=3,SUM(R8:R13)-SMALL(R8:R13,1),IF(R14=4,SUM(R8:R13)-SMALL(R8:R13,1)-SMALL(R8:R13,2))))</f>
        <v>17.3</v>
      </c>
      <c r="S15" s="23">
        <f>IF(S14=2,SUM(S8:S13),IF(S14=3,SUM(S8:S13)-SMALL(S8:S13,1),IF(S14=4,SUM(S8:S13)-SMALL(S8:S13,1)-SMALL(S8:S13,2))))</f>
        <v>18.600000000000005</v>
      </c>
      <c r="T15" s="23">
        <f>IF(T14=2,SUM(T8:T13),IF(T14=3,SUM(T8:T13)-SMALL(T8:T13,1),IF(T14=4,SUM(T8:T13)-SMALL(T8:T13,1)-SMALL(T8:T13,2))))</f>
        <v>17.149999999999999</v>
      </c>
      <c r="U15" s="23">
        <f>IF(U14=2,SUM(U8:U13),IF(U14=3,SUM(U8:U13)-SMALL(U8:U13,1),IF(U14=4,SUM(U8:U13)-SMALL(U8:U13,1)-SMALL(U8:U13,2))))</f>
        <v>18.7</v>
      </c>
      <c r="V15" s="8"/>
    </row>
    <row r="16" spans="1:82">
      <c r="A16" s="222"/>
      <c r="B16" s="222"/>
      <c r="C16" s="222"/>
      <c r="D16" s="222"/>
      <c r="E16" s="222"/>
      <c r="F16" s="222"/>
    </row>
    <row r="17" spans="1:6">
      <c r="A17" s="111"/>
      <c r="B17" s="111"/>
      <c r="C17" s="111"/>
      <c r="D17" s="111"/>
      <c r="E17" s="111"/>
      <c r="F17" s="111"/>
    </row>
    <row r="18" spans="1:6">
      <c r="A18" s="102"/>
      <c r="B18" s="152"/>
      <c r="C18" s="110"/>
      <c r="D18" s="73"/>
      <c r="E18" s="73"/>
      <c r="F18" s="73"/>
    </row>
    <row r="19" spans="1:6">
      <c r="A19" s="102"/>
      <c r="B19" s="152"/>
      <c r="C19" s="110"/>
      <c r="D19" s="73"/>
      <c r="E19" s="73"/>
      <c r="F19" s="73"/>
    </row>
    <row r="20" spans="1:6">
      <c r="A20" s="102"/>
      <c r="B20" s="152"/>
      <c r="C20" s="110"/>
      <c r="D20" s="73"/>
      <c r="E20" s="73"/>
      <c r="F20" s="73"/>
    </row>
    <row r="21" spans="1:6">
      <c r="A21" s="102"/>
      <c r="B21" s="152"/>
      <c r="C21" s="110"/>
      <c r="D21" s="68"/>
      <c r="E21" s="68"/>
      <c r="F21" s="73"/>
    </row>
    <row r="22" spans="1:6">
      <c r="A22" s="102"/>
      <c r="B22" s="152"/>
      <c r="C22" s="110"/>
      <c r="D22" s="68"/>
      <c r="E22" s="68"/>
      <c r="F22" s="73"/>
    </row>
    <row r="23" spans="1:6">
      <c r="A23" s="102"/>
      <c r="B23" s="152"/>
      <c r="C23" s="110"/>
      <c r="D23" s="68"/>
      <c r="E23" s="68"/>
      <c r="F23" s="73"/>
    </row>
    <row r="24" spans="1:6">
      <c r="A24" s="106"/>
      <c r="B24" s="106"/>
      <c r="C24" s="84"/>
      <c r="D24" s="64"/>
      <c r="E24" s="64"/>
      <c r="F24" s="105"/>
    </row>
  </sheetData>
  <mergeCells count="5">
    <mergeCell ref="A1:AB1"/>
    <mergeCell ref="A2:AB2"/>
    <mergeCell ref="L4:O4"/>
    <mergeCell ref="A6:F6"/>
    <mergeCell ref="L6:Q6"/>
  </mergeCells>
  <phoneticPr fontId="21" type="noConversion"/>
  <conditionalFormatting sqref="AA7:AA8">
    <cfRule type="cellIs" dxfId="677" priority="1" operator="equal">
      <formula>3</formula>
    </cfRule>
    <cfRule type="cellIs" dxfId="676" priority="2" operator="equal">
      <formula>2</formula>
    </cfRule>
    <cfRule type="cellIs" dxfId="675" priority="3" operator="equal">
      <formula>1</formula>
    </cfRule>
  </conditionalFormatting>
  <pageMargins left="0.7" right="0.7" top="0.75" bottom="0.75" header="0.3" footer="0.3"/>
  <pageSetup paperSize="9" scale="71" orientation="landscape" horizontalDpi="4294967292" verticalDpi="4294967292"/>
  <colBreaks count="1" manualBreakCount="1">
    <brk id="34" max="1048575" man="1"/>
  </colBreaks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27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4.87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19.125" customWidth="1"/>
    <col min="9" max="10" width="7.5" bestFit="1" customWidth="1"/>
    <col min="11" max="11" width="7.375" bestFit="1" customWidth="1"/>
    <col min="12" max="12" width="0.5" customWidth="1"/>
    <col min="13" max="13" width="7.5" customWidth="1"/>
    <col min="14" max="14" width="5.125" customWidth="1"/>
    <col min="15" max="15" width="22.125" customWidth="1"/>
    <col min="16" max="16" width="7.625" customWidth="1"/>
    <col min="17" max="17" width="5.125" customWidth="1"/>
    <col min="18" max="18" width="7.625" customWidth="1"/>
    <col min="19" max="19" width="4" customWidth="1"/>
    <col min="20" max="20" width="8.375" customWidth="1"/>
    <col min="21" max="21" width="4.875" customWidth="1"/>
    <col min="22" max="22" width="7.625" customWidth="1"/>
    <col min="23" max="23" width="23" bestFit="1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138"/>
      <c r="AE1" s="138"/>
      <c r="AF1" s="138"/>
      <c r="AG1" s="138"/>
      <c r="AH1" s="138"/>
      <c r="AI1" s="138"/>
      <c r="AJ1" s="138"/>
      <c r="AK1" s="138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s="32" customFormat="1" ht="21" customHeight="1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139"/>
      <c r="AE2" s="139"/>
      <c r="AF2" s="139"/>
      <c r="AG2" s="139"/>
      <c r="AH2" s="139"/>
      <c r="AI2" s="139"/>
      <c r="AJ2" s="139"/>
      <c r="AK2" s="3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"/>
      <c r="BR2" s="2"/>
    </row>
    <row r="3" spans="1:70" ht="28.5" customHeight="1">
      <c r="A3" s="8"/>
      <c r="E3" s="4"/>
      <c r="F3" s="4"/>
      <c r="G3" s="4"/>
      <c r="H3" s="4"/>
      <c r="I3" s="4"/>
      <c r="J3" s="1"/>
      <c r="K3" s="1"/>
      <c r="L3" s="1"/>
      <c r="M3" s="1"/>
      <c r="N3" s="26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E4" s="1"/>
      <c r="F4" s="1"/>
      <c r="G4" s="461" t="s">
        <v>427</v>
      </c>
      <c r="H4" s="462"/>
      <c r="I4" s="463"/>
      <c r="M4" s="1"/>
      <c r="N4" s="26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6" spans="1:70" s="8" customFormat="1">
      <c r="A6" s="245"/>
      <c r="B6" s="239"/>
      <c r="C6" s="239"/>
      <c r="D6" s="239"/>
      <c r="E6" s="239"/>
      <c r="G6" s="239"/>
      <c r="H6" s="110"/>
      <c r="I6" s="73"/>
      <c r="J6" s="73"/>
      <c r="K6" s="239"/>
      <c r="L6" s="106"/>
      <c r="M6" s="34" t="s">
        <v>12</v>
      </c>
      <c r="N6" s="34" t="s">
        <v>503</v>
      </c>
      <c r="O6" s="35" t="s">
        <v>2</v>
      </c>
      <c r="P6" s="36" t="s">
        <v>6</v>
      </c>
      <c r="Q6" s="36" t="s">
        <v>14</v>
      </c>
      <c r="R6" s="36" t="s">
        <v>7</v>
      </c>
      <c r="S6" s="49" t="s">
        <v>15</v>
      </c>
      <c r="T6" s="37" t="s">
        <v>5</v>
      </c>
      <c r="U6" s="38" t="s">
        <v>16</v>
      </c>
    </row>
    <row r="7" spans="1:70">
      <c r="A7" s="111"/>
      <c r="B7" s="111"/>
      <c r="C7" s="111"/>
      <c r="D7" s="111"/>
      <c r="E7" s="111"/>
      <c r="G7" s="111"/>
      <c r="H7" s="110"/>
      <c r="I7" s="73"/>
      <c r="J7" s="73"/>
      <c r="K7" s="111"/>
      <c r="L7" s="1"/>
      <c r="M7" s="208" t="s">
        <v>983</v>
      </c>
      <c r="N7" s="149">
        <v>900</v>
      </c>
      <c r="O7" s="93" t="s">
        <v>383</v>
      </c>
      <c r="P7" s="209">
        <f>'INT 15&amp;U MX'!D8</f>
        <v>8.8000000000000007</v>
      </c>
      <c r="Q7" s="283">
        <f>SUMPRODUCT((P$7:P$11&gt;P7)/COUNTIF(P$7:P$11,P$7:P$11&amp;""))+1</f>
        <v>2</v>
      </c>
      <c r="R7" s="209">
        <f>'INT 15&amp;U MX'!E8</f>
        <v>9.1999999999999993</v>
      </c>
      <c r="S7" s="283">
        <f>SUMPRODUCT((R$7:R$11&gt;R7)/COUNTIF(R$7:R$11,R$7:R$11&amp;""))+1</f>
        <v>1</v>
      </c>
      <c r="T7" s="217">
        <f>Table35121314244567234811[[#This Row],[Floor]]+Table35121314244567234811[[#This Row],[Vault]]</f>
        <v>18</v>
      </c>
      <c r="U7" s="283">
        <f>SUMPRODUCT((T$7:T$11&gt;T7)/COUNTIF(T$7:T$11,T$7:T$11&amp;""))+1</f>
        <v>2</v>
      </c>
    </row>
    <row r="8" spans="1:70">
      <c r="A8" s="152"/>
      <c r="B8" s="110"/>
      <c r="C8" s="73"/>
      <c r="D8" s="73"/>
      <c r="E8" s="73"/>
      <c r="G8" s="152"/>
      <c r="H8" s="110"/>
      <c r="I8" s="73"/>
      <c r="J8" s="73"/>
      <c r="K8" s="73"/>
      <c r="L8" s="1"/>
      <c r="M8" s="208" t="s">
        <v>983</v>
      </c>
      <c r="N8" s="149">
        <v>901</v>
      </c>
      <c r="O8" s="93" t="s">
        <v>999</v>
      </c>
      <c r="P8" s="209">
        <f>'INT 15&amp;U MX'!D9</f>
        <v>7.5</v>
      </c>
      <c r="Q8" s="283">
        <f t="shared" ref="Q8:Q11" si="0">SUMPRODUCT((P$7:P$11&gt;P8)/COUNTIF(P$7:P$11,P$7:P$11&amp;""))+1</f>
        <v>5</v>
      </c>
      <c r="R8" s="209">
        <f>'INT 15&amp;U MX'!E9</f>
        <v>8.1999999999999993</v>
      </c>
      <c r="S8" s="283">
        <f t="shared" ref="S8:S11" si="1">SUMPRODUCT((R$7:R$11&gt;R8)/COUNTIF(R$7:R$11,R$7:R$11&amp;""))+1</f>
        <v>5</v>
      </c>
      <c r="T8" s="217">
        <f>Table35121314244567234811[[#This Row],[Floor]]+Table35121314244567234811[[#This Row],[Vault]]</f>
        <v>15.7</v>
      </c>
      <c r="U8" s="283">
        <f t="shared" ref="U8:U11" si="2">SUMPRODUCT((T$7:T$11&gt;T8)/COUNTIF(T$7:T$11,T$7:T$11&amp;""))+1</f>
        <v>5</v>
      </c>
    </row>
    <row r="9" spans="1:70">
      <c r="A9" s="152"/>
      <c r="B9" s="110"/>
      <c r="C9" s="73"/>
      <c r="D9" s="73"/>
      <c r="E9" s="73"/>
      <c r="G9" s="152"/>
      <c r="H9" s="110"/>
      <c r="I9" s="73"/>
      <c r="J9" s="73"/>
      <c r="K9" s="73"/>
      <c r="L9" s="1"/>
      <c r="M9" s="208" t="s">
        <v>983</v>
      </c>
      <c r="N9" s="149">
        <v>902</v>
      </c>
      <c r="O9" s="93" t="s">
        <v>1000</v>
      </c>
      <c r="P9" s="209">
        <f>'INT 15&amp;U MX'!D10</f>
        <v>8.65</v>
      </c>
      <c r="Q9" s="283">
        <f t="shared" si="0"/>
        <v>4</v>
      </c>
      <c r="R9" s="209">
        <f>'INT 15&amp;U MX'!E10</f>
        <v>9</v>
      </c>
      <c r="S9" s="283">
        <f t="shared" si="1"/>
        <v>3</v>
      </c>
      <c r="T9" s="217">
        <f>Table35121314244567234811[[#This Row],[Floor]]+Table35121314244567234811[[#This Row],[Vault]]</f>
        <v>17.649999999999999</v>
      </c>
      <c r="U9" s="283">
        <f t="shared" si="2"/>
        <v>3</v>
      </c>
    </row>
    <row r="10" spans="1:70">
      <c r="A10" s="152"/>
      <c r="B10" s="110"/>
      <c r="C10" s="73"/>
      <c r="D10" s="73"/>
      <c r="E10" s="73"/>
      <c r="G10" s="152"/>
      <c r="H10" s="110"/>
      <c r="I10" s="73"/>
      <c r="J10" s="73"/>
      <c r="K10" s="73"/>
      <c r="L10" s="1"/>
      <c r="M10" s="208" t="s">
        <v>391</v>
      </c>
      <c r="N10" s="149">
        <v>906</v>
      </c>
      <c r="O10" s="93" t="s">
        <v>429</v>
      </c>
      <c r="P10" s="209">
        <f>'INT 15&amp;U MX'!O8</f>
        <v>8.6999999999999993</v>
      </c>
      <c r="Q10" s="283">
        <f t="shared" si="0"/>
        <v>3</v>
      </c>
      <c r="R10" s="209">
        <f>'INT 15&amp;U MX'!P8</f>
        <v>8.9</v>
      </c>
      <c r="S10" s="283">
        <f t="shared" si="1"/>
        <v>4</v>
      </c>
      <c r="T10" s="217">
        <f>Table35121314244567234811[[#This Row],[Floor]]+Table35121314244567234811[[#This Row],[Vault]]</f>
        <v>17.600000000000001</v>
      </c>
      <c r="U10" s="283">
        <f t="shared" si="2"/>
        <v>4</v>
      </c>
    </row>
    <row r="11" spans="1:70">
      <c r="A11" s="152"/>
      <c r="B11" s="110"/>
      <c r="C11" s="73"/>
      <c r="D11" s="73"/>
      <c r="E11" s="73"/>
      <c r="G11" s="152"/>
      <c r="H11" s="110"/>
      <c r="I11" s="73"/>
      <c r="J11" s="73"/>
      <c r="K11" s="73"/>
      <c r="L11" s="1"/>
      <c r="M11" s="16" t="s">
        <v>391</v>
      </c>
      <c r="N11" s="149">
        <v>907</v>
      </c>
      <c r="O11" s="93" t="s">
        <v>428</v>
      </c>
      <c r="P11" s="209">
        <f>'INT 15&amp;U MX'!O9</f>
        <v>9.6</v>
      </c>
      <c r="Q11" s="283">
        <f t="shared" si="0"/>
        <v>1</v>
      </c>
      <c r="R11" s="209">
        <f>'INT 15&amp;U MX'!P9</f>
        <v>9.1</v>
      </c>
      <c r="S11" s="283">
        <f t="shared" si="1"/>
        <v>2</v>
      </c>
      <c r="T11" s="217">
        <f>Table35121314244567234811[[#This Row],[Floor]]+Table35121314244567234811[[#This Row],[Vault]]</f>
        <v>18.7</v>
      </c>
      <c r="U11" s="283">
        <f t="shared" si="2"/>
        <v>1</v>
      </c>
    </row>
    <row r="12" spans="1:70">
      <c r="A12" s="246"/>
      <c r="B12" s="110"/>
      <c r="C12" s="247"/>
      <c r="D12" s="247"/>
      <c r="E12" s="247"/>
      <c r="G12" s="152"/>
      <c r="H12" s="104"/>
      <c r="I12" s="64"/>
      <c r="J12" s="64"/>
      <c r="K12" s="73"/>
      <c r="L12" s="1"/>
      <c r="R12" s="41"/>
      <c r="S12" s="41"/>
      <c r="T12" s="41"/>
      <c r="U12" s="41"/>
    </row>
    <row r="13" spans="1:70">
      <c r="A13" s="152"/>
      <c r="B13" s="110"/>
      <c r="C13" s="73"/>
      <c r="D13" s="73"/>
      <c r="E13" s="73"/>
      <c r="F13" s="8"/>
      <c r="G13" s="152"/>
      <c r="H13" s="121"/>
      <c r="I13" s="1"/>
      <c r="J13" s="104"/>
      <c r="K13" s="68"/>
      <c r="L13" s="106"/>
    </row>
    <row r="14" spans="1:70">
      <c r="A14" s="1"/>
      <c r="B14" s="104"/>
      <c r="C14" s="64"/>
      <c r="D14" s="64"/>
      <c r="E14" s="105"/>
      <c r="F14" s="8"/>
      <c r="G14" s="1"/>
      <c r="H14" s="77"/>
      <c r="I14" s="77"/>
      <c r="J14" s="77"/>
      <c r="K14" s="105"/>
      <c r="L14" s="106"/>
    </row>
    <row r="15" spans="1:70">
      <c r="A15" s="1"/>
      <c r="B15" s="121"/>
      <c r="C15" s="1"/>
      <c r="D15" s="104"/>
      <c r="E15" s="115"/>
      <c r="G15" s="1"/>
      <c r="H15" s="107"/>
      <c r="I15" s="68"/>
      <c r="J15" s="68"/>
      <c r="K15" s="115"/>
      <c r="L15" s="1"/>
    </row>
    <row r="16" spans="1:70">
      <c r="A16" s="1"/>
      <c r="B16" s="1"/>
      <c r="C16" s="1"/>
      <c r="D16" s="1"/>
      <c r="E16" s="1"/>
      <c r="H16" s="106"/>
      <c r="I16" s="106"/>
      <c r="J16" s="106"/>
    </row>
    <row r="17" spans="1:11">
      <c r="A17" s="164"/>
      <c r="B17" s="239"/>
      <c r="C17" s="239"/>
      <c r="D17" s="239"/>
      <c r="E17" s="239"/>
      <c r="F17" s="106"/>
      <c r="G17" s="239"/>
      <c r="H17" s="106"/>
      <c r="I17" s="106"/>
      <c r="J17" s="106"/>
      <c r="K17" s="239"/>
    </row>
    <row r="18" spans="1:11">
      <c r="A18" s="111"/>
      <c r="B18" s="111"/>
      <c r="C18" s="111"/>
      <c r="D18" s="111"/>
      <c r="E18" s="111"/>
      <c r="F18" s="106"/>
      <c r="G18" s="77"/>
      <c r="H18" s="106"/>
      <c r="I18" s="106"/>
      <c r="J18" s="106"/>
      <c r="K18" s="77"/>
    </row>
    <row r="19" spans="1:11">
      <c r="A19" s="152"/>
      <c r="B19" s="110"/>
      <c r="C19" s="73"/>
      <c r="D19" s="73"/>
      <c r="E19" s="73"/>
      <c r="F19" s="106"/>
      <c r="G19" s="80"/>
      <c r="H19" s="106"/>
      <c r="I19" s="106"/>
      <c r="J19" s="106"/>
      <c r="K19" s="68"/>
    </row>
    <row r="20" spans="1:11">
      <c r="A20" s="152"/>
      <c r="B20" s="110"/>
      <c r="C20" s="73"/>
      <c r="D20" s="73"/>
      <c r="E20" s="73"/>
      <c r="F20" s="106"/>
      <c r="G20" s="106"/>
      <c r="K20" s="106"/>
    </row>
    <row r="21" spans="1:11">
      <c r="A21" s="239"/>
      <c r="B21" s="239"/>
      <c r="C21" s="239"/>
      <c r="D21" s="239"/>
      <c r="E21" s="239"/>
      <c r="F21" s="106"/>
      <c r="G21" s="106"/>
      <c r="K21" s="106"/>
    </row>
    <row r="22" spans="1:11">
      <c r="A22" s="77"/>
      <c r="B22" s="77"/>
      <c r="C22" s="77"/>
      <c r="D22" s="77"/>
      <c r="E22" s="77"/>
      <c r="F22" s="106"/>
      <c r="G22" s="106"/>
      <c r="K22" s="106"/>
    </row>
    <row r="23" spans="1:11">
      <c r="A23" s="141"/>
      <c r="B23" s="107"/>
      <c r="C23" s="68"/>
      <c r="D23" s="68"/>
      <c r="E23" s="68"/>
      <c r="F23" s="106"/>
      <c r="G23" s="106"/>
      <c r="K23" s="106"/>
    </row>
    <row r="27" spans="1:11">
      <c r="B27" s="8"/>
    </row>
  </sheetData>
  <mergeCells count="3">
    <mergeCell ref="A1:AC1"/>
    <mergeCell ref="A2:AC2"/>
    <mergeCell ref="G4:I4"/>
  </mergeCells>
  <phoneticPr fontId="21" type="noConversion"/>
  <conditionalFormatting sqref="Q7:Q11">
    <cfRule type="cellIs" dxfId="671" priority="7" operator="equal">
      <formula>3</formula>
    </cfRule>
    <cfRule type="cellIs" dxfId="670" priority="8" operator="equal">
      <formula>2</formula>
    </cfRule>
    <cfRule type="cellIs" dxfId="669" priority="9" operator="equal">
      <formula>1</formula>
    </cfRule>
  </conditionalFormatting>
  <conditionalFormatting sqref="S7:S11">
    <cfRule type="cellIs" dxfId="668" priority="4" operator="equal">
      <formula>3</formula>
    </cfRule>
    <cfRule type="cellIs" dxfId="667" priority="5" operator="equal">
      <formula>2</formula>
    </cfRule>
    <cfRule type="cellIs" dxfId="666" priority="6" operator="equal">
      <formula>1</formula>
    </cfRule>
  </conditionalFormatting>
  <conditionalFormatting sqref="U7:U11">
    <cfRule type="cellIs" dxfId="665" priority="1" operator="equal">
      <formula>3</formula>
    </cfRule>
    <cfRule type="cellIs" dxfId="664" priority="2" operator="equal">
      <formula>2</formula>
    </cfRule>
    <cfRule type="cellIs" dxfId="663" priority="3" operator="equal">
      <formula>1</formula>
    </cfRule>
  </conditionalFormatting>
  <pageMargins left="0.7" right="0.7" top="0.75" bottom="0.75" header="0.3" footer="0.3"/>
  <pageSetup paperSize="9" scale="54" orientation="landscape"/>
  <colBreaks count="1" manualBreakCount="1">
    <brk id="27" max="1048575" man="1"/>
  </colBreaks>
  <ignoredErrors>
    <ignoredError sqref="R7:R11" formula="1"/>
  </ignoredErrors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J127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4.12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8" customWidth="1"/>
    <col min="22" max="22" width="7" customWidth="1"/>
    <col min="23" max="23" width="22.5" bestFit="1" customWidth="1"/>
    <col min="24" max="24" width="8.625" customWidth="1"/>
    <col min="25" max="25" width="5" style="53" customWidth="1"/>
    <col min="26" max="26" width="9.375" customWidth="1"/>
    <col min="27" max="27" width="4.5" style="57" customWidth="1"/>
    <col min="28" max="28" width="9.375" style="39" customWidth="1"/>
    <col min="29" max="29" width="5.5" style="60" customWidth="1"/>
  </cols>
  <sheetData>
    <row r="1" spans="1:6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"/>
      <c r="BJ2" s="2"/>
    </row>
    <row r="3" spans="1:62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">
      <c r="A4" s="8"/>
      <c r="E4" s="1"/>
      <c r="F4" s="1"/>
      <c r="G4" s="464" t="s">
        <v>122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6" spans="1:62" s="8" customFormat="1">
      <c r="A6" s="169" t="s">
        <v>45</v>
      </c>
      <c r="B6" s="170"/>
      <c r="C6" s="170"/>
      <c r="D6" s="170"/>
      <c r="E6" s="119"/>
      <c r="F6" s="113"/>
      <c r="G6" s="285" t="s">
        <v>294</v>
      </c>
      <c r="H6" s="220"/>
      <c r="I6" s="220"/>
      <c r="J6" s="220"/>
      <c r="K6" s="221"/>
      <c r="M6" s="171" t="s">
        <v>965</v>
      </c>
      <c r="N6" s="125"/>
      <c r="O6" s="125"/>
      <c r="P6" s="125"/>
      <c r="Q6" s="126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62">
      <c r="A7" s="145" t="s">
        <v>1</v>
      </c>
      <c r="B7" s="145" t="s">
        <v>2</v>
      </c>
      <c r="C7" s="145" t="s">
        <v>3</v>
      </c>
      <c r="D7" s="145" t="s">
        <v>4</v>
      </c>
      <c r="E7" s="145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16" t="s">
        <v>135</v>
      </c>
      <c r="V7" s="149">
        <v>845</v>
      </c>
      <c r="W7" s="95" t="s">
        <v>143</v>
      </c>
      <c r="X7" s="14">
        <f>C8</f>
        <v>8.9</v>
      </c>
      <c r="Y7" s="283">
        <f>SUMPRODUCT((X$7:X$49&gt;X7)/COUNTIF(X$7:X$49,X$7:X$49&amp;""))+1</f>
        <v>11</v>
      </c>
      <c r="Z7" s="14">
        <f>D8</f>
        <v>8.1999999999999993</v>
      </c>
      <c r="AA7" s="283">
        <f>SUMPRODUCT((Z$7:Z$49&gt;Z7)/COUNTIF(Z$7:Z$49,Z$7:Z$49&amp;""))+1</f>
        <v>8</v>
      </c>
      <c r="AB7" s="212">
        <f>Table35155053539[[#This Row],[Floor4]]+Table35155053539[[#This Row],[Vault6]]</f>
        <v>17.100000000000001</v>
      </c>
      <c r="AC7" s="283">
        <f>SUMPRODUCT((AB$7:AB$49&gt;AB7)/COUNTIF(AB$7:AB$49,AB$7:AB$49&amp;""))+1</f>
        <v>10.999999999999998</v>
      </c>
    </row>
    <row r="8" spans="1:62">
      <c r="A8" s="149">
        <v>845</v>
      </c>
      <c r="B8" s="93" t="s">
        <v>143</v>
      </c>
      <c r="C8" s="13">
        <v>8.9</v>
      </c>
      <c r="D8" s="13">
        <v>8.1999999999999993</v>
      </c>
      <c r="E8" s="13">
        <f>SUM(C8,D8)</f>
        <v>17.100000000000001</v>
      </c>
      <c r="G8" s="149">
        <v>851</v>
      </c>
      <c r="H8" s="97"/>
      <c r="I8" s="13">
        <v>0</v>
      </c>
      <c r="J8" s="13">
        <v>0</v>
      </c>
      <c r="K8" s="13">
        <f>SUM(I8,J8)</f>
        <v>0</v>
      </c>
      <c r="M8" s="150">
        <v>857</v>
      </c>
      <c r="N8" s="93" t="s">
        <v>971</v>
      </c>
      <c r="O8" s="13">
        <v>9.15</v>
      </c>
      <c r="P8" s="13">
        <v>8.3000000000000007</v>
      </c>
      <c r="Q8" s="13">
        <f>SUM(O8,P8)</f>
        <v>17.450000000000003</v>
      </c>
      <c r="U8" s="406" t="s">
        <v>135</v>
      </c>
      <c r="V8" s="396">
        <v>846</v>
      </c>
      <c r="W8" s="410" t="s">
        <v>47</v>
      </c>
      <c r="X8" s="401">
        <f t="shared" ref="X8:X12" si="0">C9</f>
        <v>0</v>
      </c>
      <c r="Y8" s="402">
        <f t="shared" ref="Y8:Y49" si="1">SUMPRODUCT((X$7:X$49&gt;X8)/COUNTIF(X$7:X$49,X$7:X$49&amp;""))+1</f>
        <v>21.999999999999996</v>
      </c>
      <c r="Z8" s="401">
        <f t="shared" ref="Z8:Z11" si="2">D9</f>
        <v>0</v>
      </c>
      <c r="AA8" s="402">
        <f t="shared" ref="AA8:AA49" si="3">SUMPRODUCT((Z$7:Z$49&gt;Z8)/COUNTIF(Z$7:Z$49,Z$7:Z$49&amp;""))+1</f>
        <v>20.999999999999993</v>
      </c>
      <c r="AB8" s="413">
        <f>Table35155053539[[#This Row],[Floor4]]+Table35155053539[[#This Row],[Vault6]]</f>
        <v>0</v>
      </c>
      <c r="AC8" s="402">
        <f t="shared" ref="AC8:AC49" si="4">SUMPRODUCT((AB$7:AB$49&gt;AB8)/COUNTIF(AB$7:AB$49,AB$7:AB$49&amp;""))+1</f>
        <v>27</v>
      </c>
    </row>
    <row r="9" spans="1:62">
      <c r="A9" s="396">
        <v>846</v>
      </c>
      <c r="B9" s="397" t="s">
        <v>47</v>
      </c>
      <c r="C9" s="398">
        <v>0</v>
      </c>
      <c r="D9" s="398">
        <v>0</v>
      </c>
      <c r="E9" s="398">
        <f t="shared" ref="E9:E13" si="5">SUM(C9,D9)</f>
        <v>0</v>
      </c>
      <c r="G9" s="149">
        <v>852</v>
      </c>
      <c r="H9" s="97"/>
      <c r="I9" s="13">
        <v>0</v>
      </c>
      <c r="J9" s="13">
        <v>0</v>
      </c>
      <c r="K9" s="13">
        <f t="shared" ref="K9:K13" si="6">SUM(I9,J9)</f>
        <v>0</v>
      </c>
      <c r="M9" s="150">
        <v>858</v>
      </c>
      <c r="N9" s="93" t="s">
        <v>972</v>
      </c>
      <c r="O9" s="13">
        <v>9.1</v>
      </c>
      <c r="P9" s="13">
        <v>7.6</v>
      </c>
      <c r="Q9" s="13">
        <f t="shared" ref="Q9:Q13" si="7">SUM(O9,P9)</f>
        <v>16.7</v>
      </c>
      <c r="U9" s="406" t="s">
        <v>135</v>
      </c>
      <c r="V9" s="396">
        <v>847</v>
      </c>
      <c r="W9" s="410" t="s">
        <v>22</v>
      </c>
      <c r="X9" s="401">
        <f t="shared" si="0"/>
        <v>0</v>
      </c>
      <c r="Y9" s="402">
        <f t="shared" si="1"/>
        <v>21.999999999999996</v>
      </c>
      <c r="Z9" s="401">
        <f t="shared" si="2"/>
        <v>0</v>
      </c>
      <c r="AA9" s="402">
        <f t="shared" si="3"/>
        <v>20.999999999999993</v>
      </c>
      <c r="AB9" s="413">
        <f>Table35155053539[[#This Row],[Floor4]]+Table35155053539[[#This Row],[Vault6]]</f>
        <v>0</v>
      </c>
      <c r="AC9" s="402">
        <f t="shared" si="4"/>
        <v>27</v>
      </c>
    </row>
    <row r="10" spans="1:62">
      <c r="A10" s="396">
        <v>847</v>
      </c>
      <c r="B10" s="397" t="s">
        <v>22</v>
      </c>
      <c r="C10" s="398">
        <v>0</v>
      </c>
      <c r="D10" s="398">
        <v>0</v>
      </c>
      <c r="E10" s="398">
        <f t="shared" si="5"/>
        <v>0</v>
      </c>
      <c r="G10" s="149">
        <v>853</v>
      </c>
      <c r="H10" s="93" t="s">
        <v>296</v>
      </c>
      <c r="I10" s="13">
        <v>9</v>
      </c>
      <c r="J10" s="13">
        <v>7.8</v>
      </c>
      <c r="K10" s="13">
        <f t="shared" si="6"/>
        <v>16.8</v>
      </c>
      <c r="M10" s="150">
        <v>859</v>
      </c>
      <c r="N10" s="93" t="s">
        <v>374</v>
      </c>
      <c r="O10" s="13">
        <v>8.9499999999999993</v>
      </c>
      <c r="P10" s="13">
        <v>8.1</v>
      </c>
      <c r="Q10" s="13">
        <f t="shared" si="7"/>
        <v>17.049999999999997</v>
      </c>
      <c r="U10" s="16" t="s">
        <v>135</v>
      </c>
      <c r="V10" s="149">
        <v>848</v>
      </c>
      <c r="W10" s="95" t="s">
        <v>674</v>
      </c>
      <c r="X10" s="14">
        <f>C11</f>
        <v>9.1999999999999993</v>
      </c>
      <c r="Y10" s="283">
        <f t="shared" si="1"/>
        <v>5</v>
      </c>
      <c r="Z10" s="14">
        <f>D11</f>
        <v>8</v>
      </c>
      <c r="AA10" s="283">
        <f t="shared" si="3"/>
        <v>10.000000000000002</v>
      </c>
      <c r="AB10" s="212">
        <f>Table35155053539[[#This Row],[Floor4]]+Table35155053539[[#This Row],[Vault6]]</f>
        <v>17.2</v>
      </c>
      <c r="AC10" s="283">
        <f t="shared" si="4"/>
        <v>9</v>
      </c>
    </row>
    <row r="11" spans="1:62">
      <c r="A11" s="149">
        <v>848</v>
      </c>
      <c r="B11" s="93" t="s">
        <v>674</v>
      </c>
      <c r="C11" s="13">
        <v>9.1999999999999993</v>
      </c>
      <c r="D11" s="13">
        <v>8</v>
      </c>
      <c r="E11" s="13">
        <f t="shared" si="5"/>
        <v>17.2</v>
      </c>
      <c r="G11" s="149">
        <v>854</v>
      </c>
      <c r="H11" s="93" t="s">
        <v>738</v>
      </c>
      <c r="I11" s="13">
        <v>8.6999999999999993</v>
      </c>
      <c r="J11" s="13">
        <v>7.75</v>
      </c>
      <c r="K11" s="13">
        <f t="shared" si="6"/>
        <v>16.45</v>
      </c>
      <c r="M11" s="408">
        <v>860</v>
      </c>
      <c r="N11" s="436" t="s">
        <v>973</v>
      </c>
      <c r="O11" s="398">
        <v>0</v>
      </c>
      <c r="P11" s="398">
        <v>0</v>
      </c>
      <c r="Q11" s="398">
        <f t="shared" si="7"/>
        <v>0</v>
      </c>
      <c r="U11" s="16" t="s">
        <v>135</v>
      </c>
      <c r="V11" s="149">
        <v>849</v>
      </c>
      <c r="W11" s="108" t="s">
        <v>46</v>
      </c>
      <c r="X11" s="14">
        <f t="shared" si="0"/>
        <v>8.65</v>
      </c>
      <c r="Y11" s="283">
        <f t="shared" si="1"/>
        <v>14.000000000000002</v>
      </c>
      <c r="Z11" s="14">
        <f t="shared" si="2"/>
        <v>7.2</v>
      </c>
      <c r="AA11" s="283">
        <f t="shared" si="3"/>
        <v>17.999999999999996</v>
      </c>
      <c r="AB11" s="212">
        <f>Table35155053539[[#This Row],[Floor4]]+Table35155053539[[#This Row],[Vault6]]</f>
        <v>15.850000000000001</v>
      </c>
      <c r="AC11" s="283">
        <f t="shared" si="4"/>
        <v>23</v>
      </c>
    </row>
    <row r="12" spans="1:62">
      <c r="A12" s="149">
        <v>849</v>
      </c>
      <c r="B12" s="100" t="s">
        <v>46</v>
      </c>
      <c r="C12" s="13">
        <v>8.65</v>
      </c>
      <c r="D12" s="13">
        <v>7.2</v>
      </c>
      <c r="E12" s="13">
        <f t="shared" si="5"/>
        <v>15.850000000000001</v>
      </c>
      <c r="G12" s="149">
        <v>855</v>
      </c>
      <c r="H12" s="97"/>
      <c r="I12" s="13">
        <v>0</v>
      </c>
      <c r="J12" s="13">
        <v>0</v>
      </c>
      <c r="K12" s="13">
        <f t="shared" si="6"/>
        <v>0</v>
      </c>
      <c r="M12" s="150">
        <v>861</v>
      </c>
      <c r="N12" s="97"/>
      <c r="O12" s="13">
        <v>0</v>
      </c>
      <c r="P12" s="13">
        <v>0</v>
      </c>
      <c r="Q12" s="13">
        <f t="shared" si="7"/>
        <v>0</v>
      </c>
      <c r="U12" s="16" t="s">
        <v>135</v>
      </c>
      <c r="V12" s="149">
        <v>850</v>
      </c>
      <c r="W12" s="108" t="s">
        <v>675</v>
      </c>
      <c r="X12" s="14">
        <f t="shared" si="0"/>
        <v>8.65</v>
      </c>
      <c r="Y12" s="283">
        <f t="shared" si="1"/>
        <v>14.000000000000002</v>
      </c>
      <c r="Z12" s="14">
        <f>D13</f>
        <v>7.1</v>
      </c>
      <c r="AA12" s="283">
        <f t="shared" si="3"/>
        <v>18.999999999999996</v>
      </c>
      <c r="AB12" s="212">
        <f>Table35155053539[[#This Row],[Floor4]]+Table35155053539[[#This Row],[Vault6]]</f>
        <v>15.75</v>
      </c>
      <c r="AC12" s="283">
        <f t="shared" si="4"/>
        <v>25</v>
      </c>
    </row>
    <row r="13" spans="1:62" ht="16.5" thickBot="1">
      <c r="A13" s="149">
        <v>850</v>
      </c>
      <c r="B13" s="100" t="s">
        <v>675</v>
      </c>
      <c r="C13" s="13">
        <v>8.65</v>
      </c>
      <c r="D13" s="13">
        <v>7.1</v>
      </c>
      <c r="E13" s="13">
        <f t="shared" si="5"/>
        <v>15.75</v>
      </c>
      <c r="F13" s="8"/>
      <c r="G13" s="149">
        <v>856</v>
      </c>
      <c r="H13" s="93" t="s">
        <v>739</v>
      </c>
      <c r="I13" s="13">
        <v>8.6</v>
      </c>
      <c r="J13" s="13">
        <v>7.6</v>
      </c>
      <c r="K13" s="13">
        <f t="shared" si="6"/>
        <v>16.2</v>
      </c>
      <c r="L13" s="8"/>
      <c r="M13" s="150">
        <v>862</v>
      </c>
      <c r="N13" s="97"/>
      <c r="O13" s="13">
        <v>0</v>
      </c>
      <c r="P13" s="13">
        <v>0</v>
      </c>
      <c r="Q13" s="13">
        <f t="shared" si="7"/>
        <v>0</v>
      </c>
      <c r="U13" s="16" t="s">
        <v>81</v>
      </c>
      <c r="V13" s="149">
        <v>894</v>
      </c>
      <c r="W13" s="95" t="s">
        <v>275</v>
      </c>
      <c r="X13" s="14">
        <f>I35</f>
        <v>9.1999999999999993</v>
      </c>
      <c r="Y13" s="283">
        <f t="shared" si="1"/>
        <v>5</v>
      </c>
      <c r="Z13" s="14">
        <f>J35</f>
        <v>8.1</v>
      </c>
      <c r="AA13" s="283">
        <f t="shared" si="3"/>
        <v>9.0000000000000018</v>
      </c>
      <c r="AB13" s="212">
        <f>Table35155053539[[#This Row],[Floor4]]+Table35155053539[[#This Row],[Vault6]]</f>
        <v>17.299999999999997</v>
      </c>
      <c r="AC13" s="283">
        <f t="shared" si="4"/>
        <v>8</v>
      </c>
    </row>
    <row r="14" spans="1:62" ht="16.5" thickBot="1">
      <c r="B14" s="25" t="s">
        <v>10</v>
      </c>
      <c r="C14" s="19">
        <f>SUM(C8:C13)-SMALL(C8:C13,1)-SMALL(C8:C13,2)</f>
        <v>35.4</v>
      </c>
      <c r="D14" s="19">
        <f>SUM(D8:D13)-SMALL(D8:D13,1)-SMALL(D8:D13,2)</f>
        <v>30.5</v>
      </c>
      <c r="E14" s="20">
        <f>SUM(C14:D14)</f>
        <v>65.900000000000006</v>
      </c>
      <c r="F14" s="8"/>
      <c r="H14" s="25" t="s">
        <v>10</v>
      </c>
      <c r="I14" s="19">
        <f>SUM(I8:I13)-SMALL(I8:I13,1)-SMALL(I8:I13,2)</f>
        <v>26.299999999999997</v>
      </c>
      <c r="J14" s="19">
        <f>SUM(J8:J13)-SMALL(J8:J13,1)-SMALL(J8:J13,2)</f>
        <v>23.15</v>
      </c>
      <c r="K14" s="20">
        <f>SUM(I14:J14)</f>
        <v>49.449999999999996</v>
      </c>
      <c r="L14" s="8"/>
      <c r="N14" s="25" t="s">
        <v>10</v>
      </c>
      <c r="O14" s="19">
        <f>SUM(O8:O13)-SMALL(O8:O13,1)-SMALL(O8:O13,2)</f>
        <v>27.2</v>
      </c>
      <c r="P14" s="19">
        <f>SUM(P8:P13)-SMALL(P8:P13,1)-SMALL(P8:P13,2)</f>
        <v>24</v>
      </c>
      <c r="Q14" s="20">
        <f>SUM(O14:P14)</f>
        <v>51.2</v>
      </c>
      <c r="U14" s="16" t="s">
        <v>706</v>
      </c>
      <c r="V14" s="149">
        <v>853</v>
      </c>
      <c r="W14" s="93" t="s">
        <v>296</v>
      </c>
      <c r="X14" s="14">
        <f>I10</f>
        <v>9</v>
      </c>
      <c r="Y14" s="283">
        <f t="shared" si="1"/>
        <v>9</v>
      </c>
      <c r="Z14" s="14">
        <f>J10</f>
        <v>7.8</v>
      </c>
      <c r="AA14" s="283">
        <f t="shared" si="3"/>
        <v>13.000000000000002</v>
      </c>
      <c r="AB14" s="212">
        <f>Table35155053539[[#This Row],[Floor4]]+Table35155053539[[#This Row],[Vault6]]</f>
        <v>16.8</v>
      </c>
      <c r="AC14" s="283">
        <f t="shared" si="4"/>
        <v>14.000000000000002</v>
      </c>
    </row>
    <row r="15" spans="1:62">
      <c r="B15" s="94" t="s">
        <v>37</v>
      </c>
      <c r="D15" s="25"/>
      <c r="E15" s="26"/>
      <c r="H15" s="94" t="s">
        <v>37</v>
      </c>
      <c r="J15" s="25"/>
      <c r="K15" s="26"/>
      <c r="N15" s="94" t="s">
        <v>37</v>
      </c>
      <c r="P15" s="25"/>
      <c r="Q15" s="26"/>
      <c r="U15" s="16" t="s">
        <v>706</v>
      </c>
      <c r="V15" s="149">
        <v>854</v>
      </c>
      <c r="W15" s="93" t="s">
        <v>738</v>
      </c>
      <c r="X15" s="14">
        <f>I11</f>
        <v>8.6999999999999993</v>
      </c>
      <c r="Y15" s="283">
        <f t="shared" si="1"/>
        <v>13</v>
      </c>
      <c r="Z15" s="14">
        <f>J11</f>
        <v>7.75</v>
      </c>
      <c r="AA15" s="283">
        <f t="shared" si="3"/>
        <v>14.000000000000004</v>
      </c>
      <c r="AB15" s="212">
        <f>Table35155053539[[#This Row],[Floor4]]+Table35155053539[[#This Row],[Vault6]]</f>
        <v>16.45</v>
      </c>
      <c r="AC15" s="283">
        <f t="shared" si="4"/>
        <v>18.000000000000004</v>
      </c>
    </row>
    <row r="16" spans="1:62">
      <c r="U16" s="16" t="s">
        <v>706</v>
      </c>
      <c r="V16" s="149">
        <v>856</v>
      </c>
      <c r="W16" s="93" t="s">
        <v>739</v>
      </c>
      <c r="X16" s="14">
        <f>I13</f>
        <v>8.6</v>
      </c>
      <c r="Y16" s="283">
        <f t="shared" si="1"/>
        <v>15.000000000000002</v>
      </c>
      <c r="Z16" s="14">
        <f>J13</f>
        <v>7.6</v>
      </c>
      <c r="AA16" s="283">
        <f t="shared" si="3"/>
        <v>16</v>
      </c>
      <c r="AB16" s="212">
        <f>Table35155053539[[#This Row],[Floor4]]+Table35155053539[[#This Row],[Vault6]]</f>
        <v>16.2</v>
      </c>
      <c r="AC16" s="283">
        <f t="shared" si="4"/>
        <v>21</v>
      </c>
    </row>
    <row r="17" spans="1:29">
      <c r="A17" s="285" t="s">
        <v>415</v>
      </c>
      <c r="B17" s="125"/>
      <c r="C17" s="125"/>
      <c r="D17" s="125"/>
      <c r="E17" s="126"/>
      <c r="F17" s="8"/>
      <c r="G17" s="285" t="s">
        <v>416</v>
      </c>
      <c r="H17" s="173"/>
      <c r="I17" s="173"/>
      <c r="J17" s="173"/>
      <c r="K17" s="174"/>
      <c r="L17" s="106"/>
      <c r="M17" s="285" t="s">
        <v>169</v>
      </c>
      <c r="N17" s="223"/>
      <c r="O17" s="223"/>
      <c r="P17" s="223"/>
      <c r="Q17" s="224"/>
      <c r="U17" s="16" t="s">
        <v>301</v>
      </c>
      <c r="V17" s="149">
        <v>893</v>
      </c>
      <c r="W17" s="93" t="s">
        <v>303</v>
      </c>
      <c r="X17" s="14">
        <f>I30</f>
        <v>9.0500000000000007</v>
      </c>
      <c r="Y17" s="283">
        <f t="shared" si="1"/>
        <v>7.9999999999999991</v>
      </c>
      <c r="Z17" s="14">
        <f>J30</f>
        <v>7.6</v>
      </c>
      <c r="AA17" s="283">
        <f t="shared" si="3"/>
        <v>16</v>
      </c>
      <c r="AB17" s="212">
        <f>Table35155053539[[#This Row],[Floor4]]+Table35155053539[[#This Row],[Vault6]]</f>
        <v>16.649999999999999</v>
      </c>
      <c r="AC17" s="283">
        <f t="shared" si="4"/>
        <v>16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G18" s="9" t="s">
        <v>1</v>
      </c>
      <c r="H18" s="9" t="s">
        <v>2</v>
      </c>
      <c r="I18" s="9" t="s">
        <v>3</v>
      </c>
      <c r="J18" s="9" t="s">
        <v>4</v>
      </c>
      <c r="K18" s="9" t="s">
        <v>5</v>
      </c>
      <c r="L18" s="1"/>
      <c r="M18" s="9" t="s">
        <v>1</v>
      </c>
      <c r="N18" s="9" t="s">
        <v>2</v>
      </c>
      <c r="O18" s="9" t="s">
        <v>3</v>
      </c>
      <c r="P18" s="9" t="s">
        <v>4</v>
      </c>
      <c r="Q18" s="9" t="s">
        <v>5</v>
      </c>
      <c r="U18" s="16" t="s">
        <v>909</v>
      </c>
      <c r="V18" s="149">
        <v>895</v>
      </c>
      <c r="W18" s="93" t="s">
        <v>910</v>
      </c>
      <c r="X18" s="14">
        <f>C41</f>
        <v>9.4</v>
      </c>
      <c r="Y18" s="283">
        <f t="shared" si="1"/>
        <v>2</v>
      </c>
      <c r="Z18" s="14">
        <f>D41</f>
        <v>7.9</v>
      </c>
      <c r="AA18" s="283">
        <f t="shared" si="3"/>
        <v>11.000000000000002</v>
      </c>
      <c r="AB18" s="212">
        <f>Table35155053539[[#This Row],[Floor4]]+Table35155053539[[#This Row],[Vault6]]</f>
        <v>17.3</v>
      </c>
      <c r="AC18" s="283">
        <f t="shared" si="4"/>
        <v>8</v>
      </c>
    </row>
    <row r="19" spans="1:29">
      <c r="A19" s="149">
        <v>863</v>
      </c>
      <c r="B19" s="93" t="s">
        <v>421</v>
      </c>
      <c r="C19" s="13">
        <v>9.3000000000000007</v>
      </c>
      <c r="D19" s="13">
        <v>8.4</v>
      </c>
      <c r="E19" s="13">
        <f>SUM(C19,D19)</f>
        <v>17.700000000000003</v>
      </c>
      <c r="G19" s="396">
        <v>869</v>
      </c>
      <c r="H19" s="397" t="s">
        <v>432</v>
      </c>
      <c r="I19" s="398">
        <v>0</v>
      </c>
      <c r="J19" s="398">
        <v>0</v>
      </c>
      <c r="K19" s="398">
        <f>SUM(I19,J19)</f>
        <v>0</v>
      </c>
      <c r="L19" s="1"/>
      <c r="M19" s="149">
        <v>881</v>
      </c>
      <c r="N19" s="93" t="s">
        <v>19</v>
      </c>
      <c r="O19" s="13">
        <v>8.1</v>
      </c>
      <c r="P19" s="13">
        <v>8.6</v>
      </c>
      <c r="Q19" s="13">
        <f>SUM(O19,P19)</f>
        <v>16.7</v>
      </c>
      <c r="U19" s="16" t="s">
        <v>917</v>
      </c>
      <c r="V19" s="149">
        <v>896</v>
      </c>
      <c r="W19" s="16" t="s">
        <v>940</v>
      </c>
      <c r="X19" s="14">
        <f>C45</f>
        <v>8.85</v>
      </c>
      <c r="Y19" s="283">
        <f t="shared" si="1"/>
        <v>12</v>
      </c>
      <c r="Z19" s="14">
        <f>D45</f>
        <v>8.3000000000000007</v>
      </c>
      <c r="AA19" s="283">
        <f t="shared" si="3"/>
        <v>7.0000000000000009</v>
      </c>
      <c r="AB19" s="212">
        <f>Table35155053539[[#This Row],[Floor4]]+Table35155053539[[#This Row],[Vault6]]</f>
        <v>17.149999999999999</v>
      </c>
      <c r="AC19" s="283">
        <f t="shared" si="4"/>
        <v>9.9999999999999982</v>
      </c>
    </row>
    <row r="20" spans="1:29">
      <c r="A20" s="149">
        <v>864</v>
      </c>
      <c r="B20" s="93" t="s">
        <v>420</v>
      </c>
      <c r="C20" s="13">
        <v>8.9499999999999993</v>
      </c>
      <c r="D20" s="13">
        <v>8.6</v>
      </c>
      <c r="E20" s="13">
        <f t="shared" ref="E20:E24" si="8">SUM(C20,D20)</f>
        <v>17.549999999999997</v>
      </c>
      <c r="G20" s="149">
        <v>870</v>
      </c>
      <c r="H20" s="93" t="s">
        <v>403</v>
      </c>
      <c r="I20" s="13">
        <v>9</v>
      </c>
      <c r="J20" s="13">
        <v>8.6</v>
      </c>
      <c r="K20" s="13">
        <f t="shared" ref="K20:K24" si="9">SUM(I20,J20)</f>
        <v>17.600000000000001</v>
      </c>
      <c r="L20" s="1"/>
      <c r="M20" s="149">
        <v>882</v>
      </c>
      <c r="N20" s="93" t="s">
        <v>1165</v>
      </c>
      <c r="O20" s="13">
        <v>8</v>
      </c>
      <c r="P20" s="13">
        <v>7.8</v>
      </c>
      <c r="Q20" s="13">
        <f t="shared" ref="Q20:Q24" si="10">SUM(O20,P20)</f>
        <v>15.8</v>
      </c>
      <c r="U20" s="16" t="s">
        <v>223</v>
      </c>
      <c r="V20" s="150">
        <v>857</v>
      </c>
      <c r="W20" s="93" t="s">
        <v>971</v>
      </c>
      <c r="X20" s="14">
        <f>O8</f>
        <v>9.15</v>
      </c>
      <c r="Y20" s="283">
        <f t="shared" si="1"/>
        <v>6</v>
      </c>
      <c r="Z20" s="14">
        <f>P8</f>
        <v>8.3000000000000007</v>
      </c>
      <c r="AA20" s="283">
        <f t="shared" si="3"/>
        <v>7.0000000000000009</v>
      </c>
      <c r="AB20" s="212">
        <f>Table35155053539[[#This Row],[Floor4]]+Table35155053539[[#This Row],[Vault6]]</f>
        <v>17.450000000000003</v>
      </c>
      <c r="AC20" s="283">
        <f t="shared" si="4"/>
        <v>7</v>
      </c>
    </row>
    <row r="21" spans="1:29">
      <c r="A21" s="149">
        <v>865</v>
      </c>
      <c r="B21" s="93" t="s">
        <v>417</v>
      </c>
      <c r="C21" s="13">
        <v>9.1999999999999993</v>
      </c>
      <c r="D21" s="13">
        <v>8.8000000000000007</v>
      </c>
      <c r="E21" s="13">
        <f t="shared" si="8"/>
        <v>18</v>
      </c>
      <c r="G21" s="149">
        <v>871</v>
      </c>
      <c r="H21" s="93" t="s">
        <v>433</v>
      </c>
      <c r="I21" s="13">
        <v>9.4</v>
      </c>
      <c r="J21" s="13">
        <v>8.5500000000000007</v>
      </c>
      <c r="K21" s="13">
        <f t="shared" si="9"/>
        <v>17.950000000000003</v>
      </c>
      <c r="L21" s="1"/>
      <c r="M21" s="149">
        <v>883</v>
      </c>
      <c r="N21" s="93" t="s">
        <v>31</v>
      </c>
      <c r="O21" s="13">
        <v>8.25</v>
      </c>
      <c r="P21" s="13">
        <v>8</v>
      </c>
      <c r="Q21" s="13">
        <f t="shared" si="10"/>
        <v>16.25</v>
      </c>
      <c r="U21" s="16" t="s">
        <v>223</v>
      </c>
      <c r="V21" s="150">
        <v>858</v>
      </c>
      <c r="W21" s="93" t="s">
        <v>972</v>
      </c>
      <c r="X21" s="14">
        <f>O9</f>
        <v>9.1</v>
      </c>
      <c r="Y21" s="283">
        <f t="shared" si="1"/>
        <v>7</v>
      </c>
      <c r="Z21" s="14">
        <f>P9</f>
        <v>7.6</v>
      </c>
      <c r="AA21" s="283">
        <f t="shared" si="3"/>
        <v>16</v>
      </c>
      <c r="AB21" s="212">
        <f>Table35155053539[[#This Row],[Floor4]]+Table35155053539[[#This Row],[Vault6]]</f>
        <v>16.7</v>
      </c>
      <c r="AC21" s="283">
        <f t="shared" si="4"/>
        <v>15</v>
      </c>
    </row>
    <row r="22" spans="1:29">
      <c r="A22" s="149">
        <v>866</v>
      </c>
      <c r="B22" s="93" t="s">
        <v>418</v>
      </c>
      <c r="C22" s="13">
        <v>9.15</v>
      </c>
      <c r="D22" s="13">
        <v>8.85</v>
      </c>
      <c r="E22" s="13">
        <f t="shared" si="8"/>
        <v>18</v>
      </c>
      <c r="G22" s="149">
        <v>872</v>
      </c>
      <c r="H22" s="93" t="s">
        <v>431</v>
      </c>
      <c r="I22" s="13">
        <v>9.4</v>
      </c>
      <c r="J22" s="13">
        <v>8.6</v>
      </c>
      <c r="K22" s="13">
        <f t="shared" si="9"/>
        <v>18</v>
      </c>
      <c r="L22" s="1"/>
      <c r="M22" s="149">
        <v>884</v>
      </c>
      <c r="N22" s="93" t="s">
        <v>1166</v>
      </c>
      <c r="O22" s="13">
        <v>9.1</v>
      </c>
      <c r="P22" s="13">
        <v>7.8</v>
      </c>
      <c r="Q22" s="13">
        <f t="shared" si="10"/>
        <v>16.899999999999999</v>
      </c>
      <c r="U22" s="16" t="s">
        <v>223</v>
      </c>
      <c r="V22" s="150">
        <v>859</v>
      </c>
      <c r="W22" s="93" t="s">
        <v>374</v>
      </c>
      <c r="X22" s="14">
        <f>O10</f>
        <v>8.9499999999999993</v>
      </c>
      <c r="Y22" s="283">
        <f t="shared" si="1"/>
        <v>10</v>
      </c>
      <c r="Z22" s="14">
        <f>P10</f>
        <v>8.1</v>
      </c>
      <c r="AA22" s="283">
        <f t="shared" si="3"/>
        <v>9.0000000000000018</v>
      </c>
      <c r="AB22" s="212">
        <f>Table35155053539[[#This Row],[Floor4]]+Table35155053539[[#This Row],[Vault6]]</f>
        <v>17.049999999999997</v>
      </c>
      <c r="AC22" s="283">
        <f t="shared" si="4"/>
        <v>12</v>
      </c>
    </row>
    <row r="23" spans="1:29">
      <c r="A23" s="149">
        <v>867</v>
      </c>
      <c r="B23" s="93" t="s">
        <v>419</v>
      </c>
      <c r="C23" s="13">
        <v>9.35</v>
      </c>
      <c r="D23" s="13">
        <v>8.6</v>
      </c>
      <c r="E23" s="13">
        <f t="shared" si="8"/>
        <v>17.95</v>
      </c>
      <c r="G23" s="149">
        <v>873</v>
      </c>
      <c r="H23" s="93" t="s">
        <v>1031</v>
      </c>
      <c r="I23" s="13">
        <v>9.3000000000000007</v>
      </c>
      <c r="J23" s="13">
        <v>8</v>
      </c>
      <c r="K23" s="13">
        <f t="shared" si="9"/>
        <v>17.3</v>
      </c>
      <c r="L23" s="1"/>
      <c r="M23" s="149">
        <v>885</v>
      </c>
      <c r="N23" s="97"/>
      <c r="O23" s="13">
        <v>0</v>
      </c>
      <c r="P23" s="13">
        <v>0</v>
      </c>
      <c r="Q23" s="13">
        <f t="shared" si="10"/>
        <v>0</v>
      </c>
      <c r="U23" s="406" t="s">
        <v>223</v>
      </c>
      <c r="V23" s="408">
        <v>860</v>
      </c>
      <c r="W23" s="436" t="s">
        <v>973</v>
      </c>
      <c r="X23" s="401">
        <f>O11</f>
        <v>0</v>
      </c>
      <c r="Y23" s="402">
        <f t="shared" si="1"/>
        <v>21.999999999999996</v>
      </c>
      <c r="Z23" s="401">
        <f t="shared" ref="Z23" si="11">P11</f>
        <v>0</v>
      </c>
      <c r="AA23" s="402">
        <f t="shared" si="3"/>
        <v>20.999999999999993</v>
      </c>
      <c r="AB23" s="413">
        <f>Table35155053539[[#This Row],[Floor4]]+Table35155053539[[#This Row],[Vault6]]</f>
        <v>0</v>
      </c>
      <c r="AC23" s="402">
        <f t="shared" si="4"/>
        <v>27</v>
      </c>
    </row>
    <row r="24" spans="1:29" ht="16.5" thickBot="1">
      <c r="A24" s="149">
        <v>868</v>
      </c>
      <c r="B24" s="97"/>
      <c r="C24" s="13">
        <v>0</v>
      </c>
      <c r="D24" s="13">
        <v>0</v>
      </c>
      <c r="E24" s="13">
        <f t="shared" si="8"/>
        <v>0</v>
      </c>
      <c r="F24" s="8"/>
      <c r="G24" s="149">
        <v>874</v>
      </c>
      <c r="H24" s="97"/>
      <c r="I24" s="13">
        <v>0</v>
      </c>
      <c r="J24" s="13">
        <v>0</v>
      </c>
      <c r="K24" s="13">
        <f t="shared" si="9"/>
        <v>0</v>
      </c>
      <c r="L24" s="106"/>
      <c r="M24" s="149">
        <v>886</v>
      </c>
      <c r="N24" s="97"/>
      <c r="O24" s="13">
        <v>0</v>
      </c>
      <c r="P24" s="13">
        <v>0</v>
      </c>
      <c r="Q24" s="13">
        <f t="shared" si="10"/>
        <v>0</v>
      </c>
      <c r="U24" s="16" t="s">
        <v>391</v>
      </c>
      <c r="V24" s="149">
        <v>863</v>
      </c>
      <c r="W24" s="93" t="s">
        <v>421</v>
      </c>
      <c r="X24" s="14">
        <f>C19</f>
        <v>9.3000000000000007</v>
      </c>
      <c r="Y24" s="283">
        <f t="shared" si="1"/>
        <v>4</v>
      </c>
      <c r="Z24" s="14">
        <f>D19</f>
        <v>8.4</v>
      </c>
      <c r="AA24" s="283">
        <f t="shared" si="3"/>
        <v>6</v>
      </c>
      <c r="AB24" s="212">
        <f>Table35155053539[[#This Row],[Floor4]]+Table35155053539[[#This Row],[Vault6]]</f>
        <v>17.700000000000003</v>
      </c>
      <c r="AC24" s="283">
        <f t="shared" si="4"/>
        <v>4</v>
      </c>
    </row>
    <row r="25" spans="1:29" ht="16.5" thickBot="1">
      <c r="B25" s="25" t="s">
        <v>10</v>
      </c>
      <c r="C25" s="19">
        <f>SUM(C19:C24)-SMALL(C19:C24,1)-SMALL(C19:C24,2)</f>
        <v>37</v>
      </c>
      <c r="D25" s="19">
        <f>SUM(D19:D24)-SMALL(D19:D24,1)-SMALL(D19:D24,2)</f>
        <v>34.85</v>
      </c>
      <c r="E25" s="20">
        <f>SUM(C25:D25)</f>
        <v>71.849999999999994</v>
      </c>
      <c r="F25" s="8"/>
      <c r="H25" s="25" t="s">
        <v>10</v>
      </c>
      <c r="I25" s="19">
        <f>SUM(I19:I24)-SMALL(I19:I24,1)-SMALL(I19:I24,2)</f>
        <v>37.099999999999994</v>
      </c>
      <c r="J25" s="19">
        <f>SUM(J19:J24)-SMALL(J19:J24,1)-SMALL(J19:J24,2)</f>
        <v>33.75</v>
      </c>
      <c r="K25" s="20">
        <f>SUM(I25:J25)</f>
        <v>70.849999999999994</v>
      </c>
      <c r="L25" s="106"/>
      <c r="N25" s="25" t="s">
        <v>10</v>
      </c>
      <c r="O25" s="19">
        <f>SUM(O19:O24)-SMALL(O19:O24,1)-SMALL(O19:O24,2)</f>
        <v>33.450000000000003</v>
      </c>
      <c r="P25" s="19">
        <f>SUM(P19:P24)-SMALL(P19:P24,1)-SMALL(P19:P24,2)</f>
        <v>32.199999999999996</v>
      </c>
      <c r="Q25" s="20">
        <f>SUM(O25:P25)</f>
        <v>65.650000000000006</v>
      </c>
      <c r="U25" s="16" t="s">
        <v>391</v>
      </c>
      <c r="V25" s="149">
        <v>864</v>
      </c>
      <c r="W25" s="93" t="s">
        <v>420</v>
      </c>
      <c r="X25" s="14">
        <f>C20</f>
        <v>8.9499999999999993</v>
      </c>
      <c r="Y25" s="283">
        <f t="shared" si="1"/>
        <v>10</v>
      </c>
      <c r="Z25" s="14">
        <f t="shared" ref="Z25:Z26" si="12">D20</f>
        <v>8.6</v>
      </c>
      <c r="AA25" s="283">
        <f t="shared" si="3"/>
        <v>4</v>
      </c>
      <c r="AB25" s="212">
        <f>Table35155053539[[#This Row],[Floor4]]+Table35155053539[[#This Row],[Vault6]]</f>
        <v>17.549999999999997</v>
      </c>
      <c r="AC25" s="283">
        <f t="shared" si="4"/>
        <v>6</v>
      </c>
    </row>
    <row r="26" spans="1:29">
      <c r="B26" s="94" t="s">
        <v>37</v>
      </c>
      <c r="D26" s="25"/>
      <c r="E26" s="26"/>
      <c r="H26" s="94" t="s">
        <v>37</v>
      </c>
      <c r="J26" s="25"/>
      <c r="K26" s="26"/>
      <c r="L26" s="1"/>
      <c r="N26" s="94" t="s">
        <v>37</v>
      </c>
      <c r="P26" s="25"/>
      <c r="Q26" s="26"/>
      <c r="U26" s="16" t="s">
        <v>391</v>
      </c>
      <c r="V26" s="149">
        <v>865</v>
      </c>
      <c r="W26" s="93" t="s">
        <v>417</v>
      </c>
      <c r="X26" s="14">
        <f t="shared" ref="X26:X28" si="13">C21</f>
        <v>9.1999999999999993</v>
      </c>
      <c r="Y26" s="283">
        <f t="shared" si="1"/>
        <v>5</v>
      </c>
      <c r="Z26" s="14">
        <f t="shared" si="12"/>
        <v>8.8000000000000007</v>
      </c>
      <c r="AA26" s="283">
        <f t="shared" si="3"/>
        <v>2</v>
      </c>
      <c r="AB26" s="212">
        <f>Table35155053539[[#This Row],[Floor4]]+Table35155053539[[#This Row],[Vault6]]</f>
        <v>18</v>
      </c>
      <c r="AC26" s="283">
        <f t="shared" si="4"/>
        <v>2</v>
      </c>
    </row>
    <row r="27" spans="1:29">
      <c r="G27" s="152"/>
      <c r="H27" s="110"/>
      <c r="I27" s="73"/>
      <c r="J27" s="73"/>
      <c r="K27" s="73"/>
      <c r="U27" s="16" t="s">
        <v>391</v>
      </c>
      <c r="V27" s="149">
        <v>866</v>
      </c>
      <c r="W27" s="93" t="s">
        <v>418</v>
      </c>
      <c r="X27" s="14">
        <f>C22</f>
        <v>9.15</v>
      </c>
      <c r="Y27" s="283">
        <f t="shared" si="1"/>
        <v>6</v>
      </c>
      <c r="Z27" s="14">
        <f>D22</f>
        <v>8.85</v>
      </c>
      <c r="AA27" s="283">
        <f t="shared" si="3"/>
        <v>1</v>
      </c>
      <c r="AB27" s="212">
        <f>Table35155053539[[#This Row],[Floor4]]+Table35155053539[[#This Row],[Vault6]]</f>
        <v>18</v>
      </c>
      <c r="AC27" s="283">
        <f t="shared" si="4"/>
        <v>2</v>
      </c>
    </row>
    <row r="28" spans="1:29">
      <c r="A28" s="285" t="s">
        <v>170</v>
      </c>
      <c r="B28" s="223"/>
      <c r="C28" s="223"/>
      <c r="D28" s="223"/>
      <c r="E28" s="224"/>
      <c r="F28" s="106"/>
      <c r="G28" s="285" t="s">
        <v>1368</v>
      </c>
      <c r="H28" s="173"/>
      <c r="I28" s="173"/>
      <c r="J28" s="173"/>
      <c r="K28" s="174"/>
      <c r="N28" s="39" t="s">
        <v>12</v>
      </c>
      <c r="O28" s="43" t="s">
        <v>5</v>
      </c>
      <c r="P28" s="44" t="s">
        <v>11</v>
      </c>
      <c r="U28" s="16" t="s">
        <v>391</v>
      </c>
      <c r="V28" s="149">
        <v>867</v>
      </c>
      <c r="W28" s="93" t="s">
        <v>419</v>
      </c>
      <c r="X28" s="14">
        <f t="shared" si="13"/>
        <v>9.35</v>
      </c>
      <c r="Y28" s="283">
        <f t="shared" si="1"/>
        <v>3</v>
      </c>
      <c r="Z28" s="14">
        <f>D23</f>
        <v>8.6</v>
      </c>
      <c r="AA28" s="283">
        <f t="shared" si="3"/>
        <v>4</v>
      </c>
      <c r="AB28" s="212">
        <f>Table35155053539[[#This Row],[Floor4]]+Table35155053539[[#This Row],[Vault6]]</f>
        <v>17.95</v>
      </c>
      <c r="AC28" s="283">
        <f t="shared" si="4"/>
        <v>3</v>
      </c>
    </row>
    <row r="29" spans="1:29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  <c r="F29" s="1"/>
      <c r="G29" s="9" t="s">
        <v>1</v>
      </c>
      <c r="H29" s="9" t="s">
        <v>2</v>
      </c>
      <c r="I29" s="9" t="s">
        <v>3</v>
      </c>
      <c r="J29" s="9" t="s">
        <v>4</v>
      </c>
      <c r="K29" s="9" t="s">
        <v>5</v>
      </c>
      <c r="N29" s="63" t="s">
        <v>21</v>
      </c>
      <c r="O29" s="73">
        <f>E14</f>
        <v>65.900000000000006</v>
      </c>
      <c r="P29" s="40">
        <f t="shared" ref="P29:P34" si="14">SUMPRODUCT((O$29:O$34&gt;O29)/COUNTIF(O$29:O$34,O$29:O$34&amp;""))+1</f>
        <v>4</v>
      </c>
      <c r="U29" s="406" t="s">
        <v>391</v>
      </c>
      <c r="V29" s="396">
        <v>869</v>
      </c>
      <c r="W29" s="397" t="s">
        <v>432</v>
      </c>
      <c r="X29" s="401">
        <f>I19</f>
        <v>0</v>
      </c>
      <c r="Y29" s="402">
        <f t="shared" si="1"/>
        <v>21.999999999999996</v>
      </c>
      <c r="Z29" s="401">
        <f>J19</f>
        <v>0</v>
      </c>
      <c r="AA29" s="402">
        <f t="shared" si="3"/>
        <v>20.999999999999993</v>
      </c>
      <c r="AB29" s="413">
        <f>Table35155053539[[#This Row],[Floor4]]+Table35155053539[[#This Row],[Vault6]]</f>
        <v>0</v>
      </c>
      <c r="AC29" s="402">
        <f t="shared" si="4"/>
        <v>27</v>
      </c>
    </row>
    <row r="30" spans="1:29">
      <c r="A30" s="149">
        <v>813</v>
      </c>
      <c r="B30" s="240" t="s">
        <v>1163</v>
      </c>
      <c r="C30" s="13">
        <v>9.15</v>
      </c>
      <c r="D30" s="13">
        <v>7.9</v>
      </c>
      <c r="E30" s="13">
        <f>SUM(C30,D30)</f>
        <v>17.05</v>
      </c>
      <c r="F30" s="1"/>
      <c r="G30" s="149">
        <v>893</v>
      </c>
      <c r="H30" s="100" t="s">
        <v>303</v>
      </c>
      <c r="I30" s="13">
        <v>9.0500000000000007</v>
      </c>
      <c r="J30" s="13">
        <v>7.6</v>
      </c>
      <c r="K30" s="13">
        <f>SUM(I30,J30)</f>
        <v>16.649999999999999</v>
      </c>
      <c r="N30" s="188" t="s">
        <v>557</v>
      </c>
      <c r="O30" s="46">
        <f>K14</f>
        <v>49.449999999999996</v>
      </c>
      <c r="P30" s="40">
        <f t="shared" si="14"/>
        <v>6</v>
      </c>
      <c r="U30" s="16" t="s">
        <v>391</v>
      </c>
      <c r="V30" s="149">
        <v>870</v>
      </c>
      <c r="W30" s="93" t="s">
        <v>1372</v>
      </c>
      <c r="X30" s="14">
        <f t="shared" ref="X30:X33" si="15">I20</f>
        <v>9</v>
      </c>
      <c r="Y30" s="283">
        <f t="shared" si="1"/>
        <v>9</v>
      </c>
      <c r="Z30" s="14">
        <f>J20</f>
        <v>8.6</v>
      </c>
      <c r="AA30" s="283">
        <f t="shared" si="3"/>
        <v>4</v>
      </c>
      <c r="AB30" s="212">
        <f>Table35155053539[[#This Row],[Floor4]]+Table35155053539[[#This Row],[Vault6]]</f>
        <v>17.600000000000001</v>
      </c>
      <c r="AC30" s="283">
        <f t="shared" si="4"/>
        <v>5</v>
      </c>
    </row>
    <row r="31" spans="1:29">
      <c r="A31" s="149">
        <v>888</v>
      </c>
      <c r="B31" s="93" t="s">
        <v>172</v>
      </c>
      <c r="C31" s="13">
        <v>8.25</v>
      </c>
      <c r="D31" s="13">
        <v>8</v>
      </c>
      <c r="E31" s="13">
        <f t="shared" ref="E31:E35" si="16">SUM(C31,D31)</f>
        <v>16.25</v>
      </c>
      <c r="F31" s="1"/>
      <c r="G31" s="149">
        <v>899</v>
      </c>
      <c r="H31" s="100" t="s">
        <v>1300</v>
      </c>
      <c r="I31" s="13">
        <v>8.85</v>
      </c>
      <c r="J31" s="13">
        <v>6.7</v>
      </c>
      <c r="K31" s="13">
        <f>SUM(I31,J31)</f>
        <v>15.55</v>
      </c>
      <c r="N31" s="266" t="s">
        <v>539</v>
      </c>
      <c r="O31" s="46">
        <f>E25</f>
        <v>71.849999999999994</v>
      </c>
      <c r="P31" s="40">
        <f t="shared" si="14"/>
        <v>1</v>
      </c>
      <c r="U31" s="16" t="s">
        <v>391</v>
      </c>
      <c r="V31" s="149">
        <v>871</v>
      </c>
      <c r="W31" s="93" t="s">
        <v>433</v>
      </c>
      <c r="X31" s="14">
        <f t="shared" si="15"/>
        <v>9.4</v>
      </c>
      <c r="Y31" s="283">
        <f t="shared" si="1"/>
        <v>2</v>
      </c>
      <c r="Z31" s="14">
        <f t="shared" ref="Z31:Z33" si="17">J21</f>
        <v>8.5500000000000007</v>
      </c>
      <c r="AA31" s="283">
        <f t="shared" si="3"/>
        <v>5</v>
      </c>
      <c r="AB31" s="212">
        <f>Table35155053539[[#This Row],[Floor4]]+Table35155053539[[#This Row],[Vault6]]</f>
        <v>17.950000000000003</v>
      </c>
      <c r="AC31" s="283">
        <f t="shared" si="4"/>
        <v>3</v>
      </c>
    </row>
    <row r="32" spans="1:29">
      <c r="A32" s="149">
        <v>889</v>
      </c>
      <c r="B32" s="93" t="s">
        <v>1168</v>
      </c>
      <c r="C32" s="13">
        <v>9.3000000000000007</v>
      </c>
      <c r="D32" s="13">
        <v>7.85</v>
      </c>
      <c r="E32" s="13">
        <f t="shared" si="16"/>
        <v>17.149999999999999</v>
      </c>
      <c r="F32" s="1"/>
      <c r="N32" s="266" t="s">
        <v>540</v>
      </c>
      <c r="O32" s="47">
        <f>K25</f>
        <v>70.849999999999994</v>
      </c>
      <c r="P32" s="40">
        <f t="shared" si="14"/>
        <v>2</v>
      </c>
      <c r="U32" s="16" t="s">
        <v>391</v>
      </c>
      <c r="V32" s="149">
        <v>872</v>
      </c>
      <c r="W32" s="93" t="s">
        <v>431</v>
      </c>
      <c r="X32" s="14">
        <f>I22</f>
        <v>9.4</v>
      </c>
      <c r="Y32" s="283">
        <f t="shared" si="1"/>
        <v>2</v>
      </c>
      <c r="Z32" s="14">
        <f>J22</f>
        <v>8.6</v>
      </c>
      <c r="AA32" s="283">
        <f t="shared" si="3"/>
        <v>4</v>
      </c>
      <c r="AB32" s="212">
        <f>Table35155053539[[#This Row],[Floor4]]+Table35155053539[[#This Row],[Vault6]]</f>
        <v>18</v>
      </c>
      <c r="AC32" s="283">
        <f t="shared" si="4"/>
        <v>2</v>
      </c>
    </row>
    <row r="33" spans="1:29">
      <c r="A33" s="149">
        <v>890</v>
      </c>
      <c r="B33" s="93" t="s">
        <v>1169</v>
      </c>
      <c r="C33" s="13">
        <v>9.35</v>
      </c>
      <c r="D33" s="13">
        <v>7.7</v>
      </c>
      <c r="E33" s="13">
        <f t="shared" si="16"/>
        <v>17.05</v>
      </c>
      <c r="F33" s="1"/>
      <c r="G33" s="146" t="s">
        <v>1299</v>
      </c>
      <c r="H33" s="146"/>
      <c r="I33" s="146"/>
      <c r="J33" s="146"/>
      <c r="K33" s="146"/>
      <c r="N33" s="188" t="s">
        <v>171</v>
      </c>
      <c r="O33" s="46">
        <f>Q25</f>
        <v>65.650000000000006</v>
      </c>
      <c r="P33" s="40">
        <f t="shared" si="14"/>
        <v>5</v>
      </c>
      <c r="U33" s="16" t="s">
        <v>391</v>
      </c>
      <c r="V33" s="149">
        <v>873</v>
      </c>
      <c r="W33" s="93" t="s">
        <v>1031</v>
      </c>
      <c r="X33" s="14">
        <f t="shared" si="15"/>
        <v>9.3000000000000007</v>
      </c>
      <c r="Y33" s="283">
        <f t="shared" si="1"/>
        <v>4</v>
      </c>
      <c r="Z33" s="14">
        <f t="shared" si="17"/>
        <v>8</v>
      </c>
      <c r="AA33" s="283">
        <f t="shared" si="3"/>
        <v>10.000000000000002</v>
      </c>
      <c r="AB33" s="212">
        <f>Table35155053539[[#This Row],[Floor4]]+Table35155053539[[#This Row],[Vault6]]</f>
        <v>17.3</v>
      </c>
      <c r="AC33" s="283">
        <f t="shared" si="4"/>
        <v>8</v>
      </c>
    </row>
    <row r="34" spans="1:29">
      <c r="A34" s="149">
        <v>891</v>
      </c>
      <c r="B34" s="97"/>
      <c r="C34" s="13">
        <v>0</v>
      </c>
      <c r="D34" s="13">
        <v>0</v>
      </c>
      <c r="E34" s="13">
        <f t="shared" si="16"/>
        <v>0</v>
      </c>
      <c r="F34" s="1"/>
      <c r="G34" s="9" t="s">
        <v>1</v>
      </c>
      <c r="H34" s="9" t="s">
        <v>2</v>
      </c>
      <c r="I34" s="9" t="s">
        <v>3</v>
      </c>
      <c r="J34" s="9" t="s">
        <v>4</v>
      </c>
      <c r="K34" s="9" t="s">
        <v>5</v>
      </c>
      <c r="N34" s="188" t="s">
        <v>1287</v>
      </c>
      <c r="O34" s="46">
        <f>E36</f>
        <v>67.5</v>
      </c>
      <c r="P34" s="40">
        <f t="shared" si="14"/>
        <v>3</v>
      </c>
      <c r="U34" s="16" t="s">
        <v>1049</v>
      </c>
      <c r="V34" s="149">
        <v>897</v>
      </c>
      <c r="W34" s="16" t="s">
        <v>1065</v>
      </c>
      <c r="X34" s="14">
        <f>I41</f>
        <v>8.1999999999999993</v>
      </c>
      <c r="Y34" s="283">
        <f t="shared" si="1"/>
        <v>18.000000000000004</v>
      </c>
      <c r="Z34" s="14">
        <f>J41</f>
        <v>7.6</v>
      </c>
      <c r="AA34" s="283">
        <f t="shared" si="3"/>
        <v>16</v>
      </c>
      <c r="AB34" s="212">
        <f>Table35155053539[[#This Row],[Floor4]]+Table35155053539[[#This Row],[Vault6]]</f>
        <v>15.799999999999999</v>
      </c>
      <c r="AC34" s="283">
        <f t="shared" si="4"/>
        <v>24</v>
      </c>
    </row>
    <row r="35" spans="1:29" ht="16.5" thickBot="1">
      <c r="A35" s="149">
        <v>892</v>
      </c>
      <c r="B35" s="97"/>
      <c r="C35" s="13">
        <v>0</v>
      </c>
      <c r="D35" s="13">
        <v>0</v>
      </c>
      <c r="E35" s="13">
        <f t="shared" si="16"/>
        <v>0</v>
      </c>
      <c r="F35" s="106"/>
      <c r="G35" s="149">
        <v>894</v>
      </c>
      <c r="H35" s="100" t="s">
        <v>275</v>
      </c>
      <c r="I35" s="13">
        <v>9.1999999999999993</v>
      </c>
      <c r="J35" s="13">
        <v>8.1</v>
      </c>
      <c r="K35" s="13">
        <f>SUM(I35,J35)</f>
        <v>17.299999999999997</v>
      </c>
      <c r="U35" s="16" t="s">
        <v>1115</v>
      </c>
      <c r="V35" s="149">
        <v>898</v>
      </c>
      <c r="W35" s="93" t="s">
        <v>165</v>
      </c>
      <c r="X35" s="14">
        <f>I45</f>
        <v>9.5</v>
      </c>
      <c r="Y35" s="283">
        <f t="shared" si="1"/>
        <v>1</v>
      </c>
      <c r="Z35" s="14">
        <f>J45</f>
        <v>8.8000000000000007</v>
      </c>
      <c r="AA35" s="283">
        <f t="shared" si="3"/>
        <v>2</v>
      </c>
      <c r="AB35" s="212">
        <f>Table35155053539[[#This Row],[Floor4]]+Table35155053539[[#This Row],[Vault6]]</f>
        <v>18.3</v>
      </c>
      <c r="AC35" s="283">
        <f t="shared" si="4"/>
        <v>1</v>
      </c>
    </row>
    <row r="36" spans="1:29" ht="16.5" thickBot="1">
      <c r="B36" s="25" t="s">
        <v>10</v>
      </c>
      <c r="C36" s="19">
        <f>SUM(C30:C35)-SMALL(C30:C35,1)-SMALL(C30:C35,2)</f>
        <v>36.049999999999997</v>
      </c>
      <c r="D36" s="19">
        <f>SUM(D30:D35)-SMALL(D30:D35,1)-SMALL(D30:D35,2)</f>
        <v>31.45</v>
      </c>
      <c r="E36" s="20">
        <f>SUM(C36:D36)</f>
        <v>67.5</v>
      </c>
      <c r="F36" s="106"/>
      <c r="U36" s="16" t="s">
        <v>87</v>
      </c>
      <c r="V36" s="149">
        <v>881</v>
      </c>
      <c r="W36" s="93" t="s">
        <v>19</v>
      </c>
      <c r="X36" s="14">
        <f>O19</f>
        <v>8.1</v>
      </c>
      <c r="Y36" s="283">
        <f t="shared" si="1"/>
        <v>19.000000000000004</v>
      </c>
      <c r="Z36" s="14">
        <f>P19</f>
        <v>8.6</v>
      </c>
      <c r="AA36" s="283">
        <f t="shared" si="3"/>
        <v>4</v>
      </c>
      <c r="AB36" s="212">
        <f>Table35155053539[[#This Row],[Floor4]]+Table35155053539[[#This Row],[Vault6]]</f>
        <v>16.7</v>
      </c>
      <c r="AC36" s="283">
        <f t="shared" si="4"/>
        <v>15</v>
      </c>
    </row>
    <row r="37" spans="1:29">
      <c r="B37" s="94" t="s">
        <v>37</v>
      </c>
      <c r="D37" s="25"/>
      <c r="E37" s="26"/>
      <c r="F37" s="1"/>
      <c r="N37" s="450"/>
      <c r="O37" s="450"/>
      <c r="P37" s="450"/>
      <c r="U37" s="16" t="s">
        <v>87</v>
      </c>
      <c r="V37" s="149">
        <v>882</v>
      </c>
      <c r="W37" s="93" t="s">
        <v>1165</v>
      </c>
      <c r="X37" s="14">
        <f t="shared" ref="X37" si="18">O20</f>
        <v>8</v>
      </c>
      <c r="Y37" s="283">
        <f t="shared" si="1"/>
        <v>20</v>
      </c>
      <c r="Z37" s="14">
        <f t="shared" ref="Z37:Z38" si="19">P20</f>
        <v>7.8</v>
      </c>
      <c r="AA37" s="283">
        <f t="shared" si="3"/>
        <v>13.000000000000002</v>
      </c>
      <c r="AB37" s="212">
        <f>Table35155053539[[#This Row],[Floor4]]+Table35155053539[[#This Row],[Vault6]]</f>
        <v>15.8</v>
      </c>
      <c r="AC37" s="283">
        <f t="shared" si="4"/>
        <v>24</v>
      </c>
    </row>
    <row r="38" spans="1:29">
      <c r="N38" s="450"/>
      <c r="O38" s="450"/>
      <c r="P38" s="450"/>
      <c r="U38" s="16" t="s">
        <v>87</v>
      </c>
      <c r="V38" s="149">
        <v>883</v>
      </c>
      <c r="W38" s="93" t="s">
        <v>31</v>
      </c>
      <c r="X38" s="14">
        <f>O21</f>
        <v>8.25</v>
      </c>
      <c r="Y38" s="283">
        <f t="shared" si="1"/>
        <v>17.000000000000004</v>
      </c>
      <c r="Z38" s="14">
        <f t="shared" si="19"/>
        <v>8</v>
      </c>
      <c r="AA38" s="283">
        <f t="shared" si="3"/>
        <v>10.000000000000002</v>
      </c>
      <c r="AB38" s="212">
        <f>Table35155053539[[#This Row],[Floor4]]+Table35155053539[[#This Row],[Vault6]]</f>
        <v>16.25</v>
      </c>
      <c r="AC38" s="283">
        <f t="shared" si="4"/>
        <v>20.000000000000004</v>
      </c>
    </row>
    <row r="39" spans="1:29">
      <c r="A39" s="285" t="s">
        <v>1324</v>
      </c>
      <c r="B39" s="220"/>
      <c r="C39" s="220"/>
      <c r="D39" s="220"/>
      <c r="E39" s="221"/>
      <c r="F39" s="106"/>
      <c r="G39" s="285" t="s">
        <v>1313</v>
      </c>
      <c r="H39" s="220"/>
      <c r="I39" s="220"/>
      <c r="J39" s="220"/>
      <c r="K39" s="221"/>
      <c r="L39" s="8"/>
      <c r="N39" s="450"/>
      <c r="O39" s="450"/>
      <c r="P39" s="450"/>
      <c r="U39" s="16" t="s">
        <v>87</v>
      </c>
      <c r="V39" s="149">
        <v>884</v>
      </c>
      <c r="W39" s="93" t="s">
        <v>1166</v>
      </c>
      <c r="X39" s="14">
        <f>O22</f>
        <v>9.1</v>
      </c>
      <c r="Y39" s="283">
        <f t="shared" si="1"/>
        <v>7</v>
      </c>
      <c r="Z39" s="14">
        <f>P22</f>
        <v>7.8</v>
      </c>
      <c r="AA39" s="283">
        <f t="shared" si="3"/>
        <v>13.000000000000002</v>
      </c>
      <c r="AB39" s="212">
        <f>Table35155053539[[#This Row],[Floor4]]+Table35155053539[[#This Row],[Vault6]]</f>
        <v>16.899999999999999</v>
      </c>
      <c r="AC39" s="283">
        <f t="shared" si="4"/>
        <v>13.000000000000002</v>
      </c>
    </row>
    <row r="40" spans="1:29">
      <c r="A40" s="9" t="s">
        <v>1</v>
      </c>
      <c r="B40" s="9" t="s">
        <v>2</v>
      </c>
      <c r="C40" s="9" t="s">
        <v>3</v>
      </c>
      <c r="D40" s="9" t="s">
        <v>4</v>
      </c>
      <c r="E40" s="9" t="s">
        <v>5</v>
      </c>
      <c r="F40" s="1"/>
      <c r="G40" s="9" t="s">
        <v>1</v>
      </c>
      <c r="H40" s="9" t="s">
        <v>2</v>
      </c>
      <c r="I40" s="9" t="s">
        <v>3</v>
      </c>
      <c r="J40" s="9" t="s">
        <v>4</v>
      </c>
      <c r="K40" s="9" t="s">
        <v>5</v>
      </c>
      <c r="N40" s="121"/>
      <c r="O40" s="1"/>
      <c r="P40" s="1"/>
      <c r="U40" s="16" t="s">
        <v>87</v>
      </c>
      <c r="V40" s="149">
        <v>813</v>
      </c>
      <c r="W40" s="240" t="s">
        <v>1163</v>
      </c>
      <c r="X40" s="14">
        <f>C30</f>
        <v>9.15</v>
      </c>
      <c r="Y40" s="283">
        <f t="shared" si="1"/>
        <v>6</v>
      </c>
      <c r="Z40" s="14">
        <f>D30</f>
        <v>7.9</v>
      </c>
      <c r="AA40" s="283">
        <f t="shared" si="3"/>
        <v>11.000000000000002</v>
      </c>
      <c r="AB40" s="212">
        <f>Table35155053539[[#This Row],[Floor4]]+Table35155053539[[#This Row],[Vault6]]</f>
        <v>17.05</v>
      </c>
      <c r="AC40" s="283">
        <f t="shared" si="4"/>
        <v>12</v>
      </c>
    </row>
    <row r="41" spans="1:29">
      <c r="A41" s="149">
        <v>895</v>
      </c>
      <c r="B41" s="93" t="s">
        <v>910</v>
      </c>
      <c r="C41" s="13">
        <v>9.4</v>
      </c>
      <c r="D41" s="13">
        <v>7.9</v>
      </c>
      <c r="E41" s="13">
        <f>SUM(C41,D41)</f>
        <v>17.3</v>
      </c>
      <c r="F41" s="1"/>
      <c r="G41" s="149">
        <v>897</v>
      </c>
      <c r="H41" s="16" t="s">
        <v>1065</v>
      </c>
      <c r="I41" s="13">
        <v>8.1999999999999993</v>
      </c>
      <c r="J41" s="13">
        <v>7.6</v>
      </c>
      <c r="K41" s="13">
        <f>SUM(I41,J41)</f>
        <v>15.799999999999999</v>
      </c>
      <c r="U41" s="16" t="s">
        <v>87</v>
      </c>
      <c r="V41" s="149">
        <v>888</v>
      </c>
      <c r="W41" s="93" t="s">
        <v>172</v>
      </c>
      <c r="X41" s="14">
        <f t="shared" ref="X41:X43" si="20">C31</f>
        <v>8.25</v>
      </c>
      <c r="Y41" s="283">
        <f t="shared" si="1"/>
        <v>17.000000000000004</v>
      </c>
      <c r="Z41" s="14">
        <f>D31</f>
        <v>8</v>
      </c>
      <c r="AA41" s="283">
        <f t="shared" si="3"/>
        <v>10.000000000000002</v>
      </c>
      <c r="AB41" s="212">
        <f>Table35155053539[[#This Row],[Floor4]]+Table35155053539[[#This Row],[Vault6]]</f>
        <v>16.25</v>
      </c>
      <c r="AC41" s="283">
        <f t="shared" si="4"/>
        <v>20.000000000000004</v>
      </c>
    </row>
    <row r="42" spans="1:29">
      <c r="F42" s="1"/>
      <c r="G42" s="102"/>
      <c r="H42" s="110"/>
      <c r="I42" s="73"/>
      <c r="J42" s="73"/>
      <c r="K42" s="73"/>
      <c r="M42" s="102"/>
      <c r="Q42" s="73"/>
      <c r="U42" s="16" t="s">
        <v>87</v>
      </c>
      <c r="V42" s="149">
        <v>889</v>
      </c>
      <c r="W42" s="93" t="s">
        <v>1168</v>
      </c>
      <c r="X42" s="14">
        <f>C32</f>
        <v>9.3000000000000007</v>
      </c>
      <c r="Y42" s="283">
        <f t="shared" si="1"/>
        <v>4</v>
      </c>
      <c r="Z42" s="14">
        <f>D32</f>
        <v>7.85</v>
      </c>
      <c r="AA42" s="283">
        <f t="shared" si="3"/>
        <v>12.000000000000002</v>
      </c>
      <c r="AB42" s="212">
        <f>Table35155053539[[#This Row],[Floor4]]+Table35155053539[[#This Row],[Vault6]]</f>
        <v>17.149999999999999</v>
      </c>
      <c r="AC42" s="283">
        <f t="shared" si="4"/>
        <v>9.9999999999999982</v>
      </c>
    </row>
    <row r="43" spans="1:29">
      <c r="A43" s="219" t="s">
        <v>1369</v>
      </c>
      <c r="B43" s="220"/>
      <c r="C43" s="220"/>
      <c r="D43" s="220"/>
      <c r="E43" s="221"/>
      <c r="F43" s="1"/>
      <c r="G43" s="285" t="s">
        <v>1327</v>
      </c>
      <c r="H43" s="220"/>
      <c r="I43" s="220"/>
      <c r="J43" s="220"/>
      <c r="K43" s="221"/>
      <c r="U43" s="16" t="s">
        <v>87</v>
      </c>
      <c r="V43" s="149">
        <v>890</v>
      </c>
      <c r="W43" s="93" t="s">
        <v>1169</v>
      </c>
      <c r="X43" s="14">
        <f t="shared" si="20"/>
        <v>9.35</v>
      </c>
      <c r="Y43" s="283">
        <f t="shared" si="1"/>
        <v>3</v>
      </c>
      <c r="Z43" s="14">
        <f t="shared" ref="Z43" si="21">D33</f>
        <v>7.7</v>
      </c>
      <c r="AA43" s="283">
        <f t="shared" si="3"/>
        <v>15</v>
      </c>
      <c r="AB43" s="212">
        <f>Table35155053539[[#This Row],[Floor4]]+Table35155053539[[#This Row],[Vault6]]</f>
        <v>17.05</v>
      </c>
      <c r="AC43" s="283">
        <f t="shared" si="4"/>
        <v>12</v>
      </c>
    </row>
    <row r="44" spans="1:29">
      <c r="A44" s="9" t="s">
        <v>1</v>
      </c>
      <c r="B44" s="9" t="s">
        <v>2</v>
      </c>
      <c r="C44" s="9" t="s">
        <v>3</v>
      </c>
      <c r="D44" s="9" t="s">
        <v>4</v>
      </c>
      <c r="E44" s="9" t="s">
        <v>5</v>
      </c>
      <c r="F44" s="1"/>
      <c r="G44" s="9" t="s">
        <v>1</v>
      </c>
      <c r="H44" s="9" t="s">
        <v>2</v>
      </c>
      <c r="I44" s="9" t="s">
        <v>3</v>
      </c>
      <c r="J44" s="9" t="s">
        <v>4</v>
      </c>
      <c r="K44" s="9" t="s">
        <v>5</v>
      </c>
      <c r="U44" s="120" t="s">
        <v>301</v>
      </c>
      <c r="V44" s="149">
        <v>899</v>
      </c>
      <c r="W44" s="109" t="s">
        <v>1300</v>
      </c>
      <c r="X44" s="14">
        <f>I31</f>
        <v>8.85</v>
      </c>
      <c r="Y44" s="283">
        <f t="shared" si="1"/>
        <v>12</v>
      </c>
      <c r="Z44" s="14">
        <f>J31</f>
        <v>6.7</v>
      </c>
      <c r="AA44" s="283">
        <f t="shared" si="3"/>
        <v>19.999999999999993</v>
      </c>
      <c r="AB44" s="212">
        <f>Table35155053539[[#This Row],[Floor4]]+Table35155053539[[#This Row],[Vault6]]</f>
        <v>15.55</v>
      </c>
      <c r="AC44" s="283">
        <f t="shared" si="4"/>
        <v>26</v>
      </c>
    </row>
    <row r="45" spans="1:29">
      <c r="A45" s="149">
        <v>896</v>
      </c>
      <c r="B45" s="16" t="s">
        <v>940</v>
      </c>
      <c r="C45" s="13">
        <v>8.85</v>
      </c>
      <c r="D45" s="13">
        <v>8.3000000000000007</v>
      </c>
      <c r="E45" s="13">
        <f>SUM(C45,D45)</f>
        <v>17.149999999999999</v>
      </c>
      <c r="F45" s="106"/>
      <c r="G45" s="149">
        <v>898</v>
      </c>
      <c r="H45" s="93" t="s">
        <v>165</v>
      </c>
      <c r="I45" s="13">
        <v>9.5</v>
      </c>
      <c r="J45" s="13">
        <v>8.8000000000000007</v>
      </c>
      <c r="K45" s="13">
        <f>SUM(I45,J45)</f>
        <v>18.3</v>
      </c>
      <c r="U45" s="307" t="s">
        <v>983</v>
      </c>
      <c r="V45" s="318">
        <v>903</v>
      </c>
      <c r="W45" s="308" t="s">
        <v>1001</v>
      </c>
      <c r="X45" s="295">
        <f>'INT 15&amp;U MX'!D11</f>
        <v>7.9</v>
      </c>
      <c r="Y45" s="283">
        <f t="shared" si="1"/>
        <v>20.999999999999996</v>
      </c>
      <c r="Z45" s="295">
        <f>'INT 15&amp;U MX'!E11</f>
        <v>8.6999999999999993</v>
      </c>
      <c r="AA45" s="283">
        <f t="shared" si="3"/>
        <v>3</v>
      </c>
      <c r="AB45" s="299">
        <f>Table35155053539[[#This Row],[Floor4]]+Table35155053539[[#This Row],[Vault6]]</f>
        <v>16.600000000000001</v>
      </c>
      <c r="AC45" s="283">
        <f t="shared" si="4"/>
        <v>17.000000000000004</v>
      </c>
    </row>
    <row r="46" spans="1:29">
      <c r="F46" s="1"/>
      <c r="G46" s="152"/>
      <c r="H46" s="110"/>
      <c r="I46" s="73"/>
      <c r="J46" s="73"/>
      <c r="K46" s="73"/>
      <c r="M46" s="80"/>
      <c r="Q46" s="73"/>
      <c r="U46" s="309" t="s">
        <v>983</v>
      </c>
      <c r="V46" s="319">
        <v>904</v>
      </c>
      <c r="W46" s="311" t="s">
        <v>385</v>
      </c>
      <c r="X46" s="295">
        <f>'INT 15&amp;U MX'!D12</f>
        <v>8.3000000000000007</v>
      </c>
      <c r="Y46" s="283">
        <f t="shared" si="1"/>
        <v>16.000000000000004</v>
      </c>
      <c r="Z46" s="295">
        <f>'INT 15&amp;U MX'!E12</f>
        <v>8.1</v>
      </c>
      <c r="AA46" s="283">
        <f t="shared" si="3"/>
        <v>9.0000000000000018</v>
      </c>
      <c r="AB46" s="299">
        <f>Table35155053539[[#This Row],[Floor4]]+Table35155053539[[#This Row],[Vault6]]</f>
        <v>16.399999999999999</v>
      </c>
      <c r="AC46" s="283">
        <f t="shared" si="4"/>
        <v>19.000000000000004</v>
      </c>
    </row>
    <row r="47" spans="1:29">
      <c r="A47" s="152"/>
      <c r="C47" s="73"/>
      <c r="D47" s="73"/>
      <c r="E47" s="73"/>
      <c r="F47" s="1"/>
      <c r="M47" s="80"/>
      <c r="Q47" s="73"/>
      <c r="U47" s="307" t="s">
        <v>391</v>
      </c>
      <c r="V47" s="318">
        <v>909</v>
      </c>
      <c r="W47" s="308" t="s">
        <v>403</v>
      </c>
      <c r="X47" s="295">
        <f>'INT 15&amp;U MX'!O11</f>
        <v>0</v>
      </c>
      <c r="Y47" s="283">
        <f t="shared" si="1"/>
        <v>21.999999999999996</v>
      </c>
      <c r="Z47" s="295">
        <f>'INT 15&amp;U MX'!P11</f>
        <v>0</v>
      </c>
      <c r="AA47" s="283">
        <f t="shared" si="3"/>
        <v>20.999999999999993</v>
      </c>
      <c r="AB47" s="299">
        <f>Table35155053539[[#This Row],[Floor4]]+Table35155053539[[#This Row],[Vault6]]</f>
        <v>0</v>
      </c>
      <c r="AC47" s="283">
        <f t="shared" si="4"/>
        <v>27</v>
      </c>
    </row>
    <row r="48" spans="1:29">
      <c r="M48" s="80"/>
      <c r="Q48" s="73"/>
      <c r="U48" s="307" t="s">
        <v>391</v>
      </c>
      <c r="V48" s="318">
        <v>910</v>
      </c>
      <c r="W48" s="308" t="s">
        <v>404</v>
      </c>
      <c r="X48" s="295">
        <f>'INT 15&amp;U MX'!O12</f>
        <v>8.65</v>
      </c>
      <c r="Y48" s="283">
        <f t="shared" si="1"/>
        <v>14.000000000000002</v>
      </c>
      <c r="Z48" s="295">
        <f>'INT 15&amp;U MX'!P12</f>
        <v>7.4</v>
      </c>
      <c r="AA48" s="283">
        <f t="shared" si="3"/>
        <v>17</v>
      </c>
      <c r="AB48" s="299">
        <f>Table35155053539[[#This Row],[Floor4]]+Table35155053539[[#This Row],[Vault6]]</f>
        <v>16.05</v>
      </c>
      <c r="AC48" s="283">
        <f t="shared" si="4"/>
        <v>22</v>
      </c>
    </row>
    <row r="49" spans="1:29">
      <c r="M49" s="80"/>
      <c r="Q49" s="73"/>
      <c r="U49" s="309" t="s">
        <v>391</v>
      </c>
      <c r="V49" s="319">
        <v>911</v>
      </c>
      <c r="W49" s="311" t="s">
        <v>405</v>
      </c>
      <c r="X49" s="295">
        <f>'INT 15&amp;U MX'!O13</f>
        <v>8.9</v>
      </c>
      <c r="Y49" s="283">
        <f t="shared" si="1"/>
        <v>11</v>
      </c>
      <c r="Z49" s="295">
        <f>'INT 15&amp;U MX'!P13</f>
        <v>8.3000000000000007</v>
      </c>
      <c r="AA49" s="283">
        <f t="shared" si="3"/>
        <v>7.0000000000000009</v>
      </c>
      <c r="AB49" s="299">
        <f>Table35155053539[[#This Row],[Floor4]]+Table35155053539[[#This Row],[Vault6]]</f>
        <v>17.200000000000003</v>
      </c>
      <c r="AC49" s="283">
        <f t="shared" si="4"/>
        <v>9</v>
      </c>
    </row>
    <row r="50" spans="1:29">
      <c r="L50" s="8"/>
      <c r="M50" s="80"/>
      <c r="Q50" s="68"/>
    </row>
    <row r="51" spans="1:29">
      <c r="A51" s="152"/>
      <c r="B51" s="110"/>
      <c r="C51" s="73"/>
      <c r="D51" s="73"/>
      <c r="E51" s="73"/>
      <c r="F51" s="106"/>
      <c r="G51" s="1"/>
      <c r="H51" s="104"/>
      <c r="I51" s="64"/>
      <c r="J51" s="64"/>
      <c r="K51" s="105"/>
      <c r="L51" s="8"/>
      <c r="M51" s="106"/>
      <c r="Q51" s="105"/>
    </row>
    <row r="52" spans="1:29">
      <c r="F52" s="1"/>
      <c r="M52" s="1"/>
      <c r="N52" s="110"/>
      <c r="O52" s="73"/>
      <c r="P52" s="73"/>
      <c r="Q52" s="115"/>
    </row>
    <row r="53" spans="1:29">
      <c r="M53" s="1"/>
      <c r="N53" s="137"/>
      <c r="O53" s="137"/>
      <c r="P53" s="137"/>
      <c r="Q53" s="1"/>
    </row>
    <row r="54" spans="1:29">
      <c r="F54" s="106"/>
      <c r="L54" s="8"/>
      <c r="M54" s="137"/>
      <c r="N54" s="111"/>
      <c r="O54" s="111"/>
      <c r="P54" s="111"/>
      <c r="Q54" s="137"/>
    </row>
    <row r="55" spans="1:29">
      <c r="F55" s="106"/>
      <c r="G55" s="137"/>
      <c r="H55" s="137"/>
      <c r="I55" s="137"/>
      <c r="J55" s="137"/>
      <c r="K55" s="137"/>
      <c r="L55" s="8"/>
      <c r="M55" s="137"/>
      <c r="N55" s="110"/>
      <c r="O55" s="73"/>
      <c r="P55" s="73"/>
      <c r="Q55" s="137"/>
    </row>
    <row r="56" spans="1:29">
      <c r="A56" s="111"/>
      <c r="B56" s="111"/>
      <c r="C56" s="111"/>
      <c r="D56" s="111"/>
      <c r="E56" s="111"/>
      <c r="F56" s="1"/>
      <c r="G56" s="111"/>
      <c r="H56" s="111"/>
      <c r="I56" s="111"/>
      <c r="J56" s="111"/>
      <c r="K56" s="111"/>
      <c r="M56" s="111"/>
      <c r="N56" s="110"/>
      <c r="O56" s="73"/>
      <c r="P56" s="73"/>
      <c r="Q56" s="111"/>
    </row>
    <row r="57" spans="1:29">
      <c r="A57" s="102"/>
      <c r="B57" s="110"/>
      <c r="C57" s="73"/>
      <c r="D57" s="73"/>
      <c r="E57" s="73"/>
      <c r="F57" s="1"/>
      <c r="G57" s="102"/>
      <c r="H57" s="110"/>
      <c r="I57" s="73"/>
      <c r="J57" s="73"/>
      <c r="K57" s="73"/>
      <c r="M57" s="102"/>
      <c r="N57" s="110"/>
      <c r="O57" s="73"/>
      <c r="P57" s="73"/>
      <c r="Q57" s="73"/>
    </row>
    <row r="58" spans="1:29">
      <c r="A58" s="102"/>
      <c r="B58" s="110"/>
      <c r="C58" s="73"/>
      <c r="D58" s="73"/>
      <c r="E58" s="73"/>
      <c r="F58" s="1"/>
      <c r="G58" s="102"/>
      <c r="H58" s="110"/>
      <c r="I58" s="73"/>
      <c r="J58" s="73"/>
      <c r="K58" s="73"/>
      <c r="M58" s="102"/>
      <c r="N58" s="110"/>
      <c r="O58" s="73"/>
      <c r="P58" s="73"/>
      <c r="Q58" s="73"/>
    </row>
    <row r="59" spans="1:29">
      <c r="A59" s="102"/>
      <c r="B59" s="110"/>
      <c r="C59" s="73"/>
      <c r="D59" s="73"/>
      <c r="E59" s="73"/>
      <c r="F59" s="1"/>
      <c r="G59" s="102"/>
      <c r="H59" s="110"/>
      <c r="I59" s="73"/>
      <c r="J59" s="73"/>
      <c r="K59" s="73"/>
      <c r="M59" s="102"/>
      <c r="N59" s="110"/>
      <c r="O59" s="73"/>
      <c r="P59" s="73"/>
      <c r="Q59" s="73"/>
    </row>
    <row r="60" spans="1:29">
      <c r="A60" s="102"/>
      <c r="B60" s="110"/>
      <c r="C60" s="110"/>
      <c r="D60" s="110"/>
      <c r="E60" s="73"/>
      <c r="F60" s="1"/>
      <c r="G60" s="102"/>
      <c r="H60" s="110"/>
      <c r="I60" s="73"/>
      <c r="J60" s="73"/>
      <c r="K60" s="73"/>
      <c r="M60" s="102"/>
      <c r="N60" s="110"/>
      <c r="O60" s="73"/>
      <c r="P60" s="73"/>
      <c r="Q60" s="73"/>
    </row>
    <row r="61" spans="1:29">
      <c r="A61" s="102"/>
      <c r="B61" s="110"/>
      <c r="C61" s="110"/>
      <c r="D61" s="110"/>
      <c r="E61" s="73"/>
      <c r="F61" s="1"/>
      <c r="G61" s="102"/>
      <c r="H61" s="110"/>
      <c r="I61" s="73"/>
      <c r="J61" s="73"/>
      <c r="K61" s="73"/>
      <c r="M61" s="102"/>
      <c r="N61" s="104"/>
      <c r="O61" s="64"/>
      <c r="P61" s="64"/>
      <c r="Q61" s="73"/>
    </row>
    <row r="62" spans="1:29">
      <c r="A62" s="102"/>
      <c r="B62" s="110"/>
      <c r="C62" s="110"/>
      <c r="D62" s="110"/>
      <c r="E62" s="68"/>
      <c r="F62" s="106"/>
      <c r="G62" s="102"/>
      <c r="H62" s="110"/>
      <c r="I62" s="73"/>
      <c r="J62" s="73"/>
      <c r="K62" s="68"/>
      <c r="L62" s="8"/>
      <c r="M62" s="102"/>
      <c r="N62" s="121"/>
      <c r="O62" s="1"/>
      <c r="P62" s="104"/>
      <c r="Q62" s="68"/>
    </row>
    <row r="63" spans="1:29">
      <c r="A63" s="1"/>
      <c r="B63" s="104"/>
      <c r="C63" s="64"/>
      <c r="D63" s="64"/>
      <c r="E63" s="105"/>
      <c r="F63" s="106"/>
      <c r="G63" s="1"/>
      <c r="H63" s="104"/>
      <c r="I63" s="64"/>
      <c r="J63" s="64"/>
      <c r="K63" s="105"/>
      <c r="L63" s="8"/>
      <c r="M63" s="1"/>
      <c r="N63" s="1"/>
      <c r="O63" s="1"/>
      <c r="P63" s="1"/>
      <c r="Q63" s="105"/>
    </row>
    <row r="64" spans="1:29">
      <c r="A64" s="1"/>
      <c r="B64" s="121"/>
      <c r="C64" s="1"/>
      <c r="D64" s="104"/>
      <c r="E64" s="115"/>
      <c r="F64" s="1"/>
      <c r="G64" s="1"/>
      <c r="H64" s="121"/>
      <c r="I64" s="1"/>
      <c r="J64" s="104"/>
      <c r="K64" s="115"/>
      <c r="M64" s="1"/>
      <c r="N64" s="137"/>
      <c r="O64" s="137"/>
      <c r="P64" s="137"/>
      <c r="Q64" s="115"/>
    </row>
    <row r="65" spans="1:17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1"/>
      <c r="N65" s="111"/>
      <c r="O65" s="111"/>
      <c r="P65" s="111"/>
      <c r="Q65" s="1"/>
    </row>
    <row r="66" spans="1:17">
      <c r="A66" s="137"/>
      <c r="B66" s="137"/>
      <c r="C66" s="137"/>
      <c r="D66" s="137"/>
      <c r="E66" s="137"/>
      <c r="F66" s="81"/>
      <c r="G66" s="137"/>
      <c r="H66" s="137"/>
      <c r="I66" s="137"/>
      <c r="J66" s="137"/>
      <c r="K66" s="137"/>
      <c r="L66" s="127"/>
      <c r="M66" s="137"/>
      <c r="N66" s="110"/>
      <c r="O66" s="73"/>
      <c r="P66" s="73"/>
      <c r="Q66" s="137"/>
    </row>
    <row r="67" spans="1:17">
      <c r="A67" s="111"/>
      <c r="B67" s="111"/>
      <c r="C67" s="111"/>
      <c r="D67" s="111"/>
      <c r="E67" s="111"/>
      <c r="F67" s="81"/>
      <c r="G67" s="111"/>
      <c r="H67" s="111"/>
      <c r="I67" s="111"/>
      <c r="J67" s="111"/>
      <c r="K67" s="111"/>
      <c r="L67" s="81"/>
      <c r="M67" s="111"/>
      <c r="N67" s="110"/>
      <c r="O67" s="73"/>
      <c r="P67" s="73"/>
      <c r="Q67" s="111"/>
    </row>
    <row r="68" spans="1:17">
      <c r="A68" s="102"/>
      <c r="B68" s="110"/>
      <c r="C68" s="73"/>
      <c r="D68" s="73"/>
      <c r="E68" s="73"/>
      <c r="F68" s="81"/>
      <c r="G68" s="102"/>
      <c r="H68" s="110"/>
      <c r="I68" s="73"/>
      <c r="J68" s="73"/>
      <c r="K68" s="73"/>
      <c r="L68" s="81"/>
      <c r="M68" s="102"/>
      <c r="N68" s="110"/>
      <c r="O68" s="73"/>
      <c r="P68" s="73"/>
      <c r="Q68" s="73"/>
    </row>
    <row r="69" spans="1:17">
      <c r="A69" s="102"/>
      <c r="B69" s="110"/>
      <c r="C69" s="73"/>
      <c r="D69" s="73"/>
      <c r="E69" s="73"/>
      <c r="F69" s="81"/>
      <c r="G69" s="102"/>
      <c r="H69" s="110"/>
      <c r="I69" s="73"/>
      <c r="J69" s="73"/>
      <c r="K69" s="73"/>
      <c r="L69" s="81"/>
      <c r="M69" s="102"/>
      <c r="N69" s="107"/>
      <c r="O69" s="73"/>
      <c r="P69" s="73"/>
      <c r="Q69" s="73"/>
    </row>
    <row r="70" spans="1:17">
      <c r="A70" s="102"/>
      <c r="B70" s="140"/>
      <c r="C70" s="73"/>
      <c r="D70" s="73"/>
      <c r="E70" s="73"/>
      <c r="F70" s="81"/>
      <c r="G70" s="102"/>
      <c r="H70" s="110"/>
      <c r="I70" s="73"/>
      <c r="J70" s="73"/>
      <c r="K70" s="73"/>
      <c r="L70" s="81"/>
      <c r="M70" s="102"/>
      <c r="N70" s="107"/>
      <c r="O70" s="73"/>
      <c r="P70" s="73"/>
      <c r="Q70" s="73"/>
    </row>
    <row r="71" spans="1:17">
      <c r="A71" s="102"/>
      <c r="B71" s="110"/>
      <c r="C71" s="73"/>
      <c r="D71" s="73"/>
      <c r="E71" s="73"/>
      <c r="F71" s="81"/>
      <c r="G71" s="102"/>
      <c r="H71" s="110"/>
      <c r="I71" s="73"/>
      <c r="J71" s="73"/>
      <c r="K71" s="73"/>
      <c r="L71" s="127"/>
      <c r="M71" s="102"/>
      <c r="N71" s="110"/>
      <c r="O71" s="73"/>
      <c r="P71" s="73"/>
      <c r="Q71" s="73"/>
    </row>
    <row r="72" spans="1:17">
      <c r="A72" s="102"/>
      <c r="B72" s="110"/>
      <c r="C72" s="73"/>
      <c r="D72" s="73"/>
      <c r="E72" s="73"/>
      <c r="F72" s="81"/>
      <c r="G72" s="102"/>
      <c r="H72" s="110"/>
      <c r="I72" s="73"/>
      <c r="J72" s="73"/>
      <c r="K72" s="73"/>
      <c r="L72" s="81"/>
      <c r="M72" s="102"/>
      <c r="N72" s="104"/>
      <c r="O72" s="64"/>
      <c r="P72" s="64"/>
      <c r="Q72" s="73"/>
    </row>
    <row r="73" spans="1:17">
      <c r="A73" s="102"/>
      <c r="B73" s="110"/>
      <c r="C73" s="73"/>
      <c r="D73" s="73"/>
      <c r="E73" s="68"/>
      <c r="F73" s="81"/>
      <c r="G73" s="102"/>
      <c r="H73" s="110"/>
      <c r="I73" s="73"/>
      <c r="J73" s="73"/>
      <c r="K73" s="68"/>
      <c r="L73" s="81"/>
      <c r="M73" s="102"/>
      <c r="N73" s="121"/>
      <c r="O73" s="1"/>
      <c r="P73" s="104"/>
      <c r="Q73" s="68"/>
    </row>
    <row r="74" spans="1:17">
      <c r="A74" s="1"/>
      <c r="B74" s="104"/>
      <c r="C74" s="64"/>
      <c r="D74" s="64"/>
      <c r="E74" s="105"/>
      <c r="F74" s="81"/>
      <c r="G74" s="1"/>
      <c r="H74" s="104"/>
      <c r="I74" s="64"/>
      <c r="J74" s="64"/>
      <c r="K74" s="105"/>
      <c r="L74" s="81"/>
      <c r="M74" s="1"/>
      <c r="Q74" s="105"/>
    </row>
    <row r="75" spans="1:17">
      <c r="A75" s="81"/>
      <c r="B75" s="121"/>
      <c r="C75" s="81"/>
      <c r="D75" s="84"/>
      <c r="E75" s="85"/>
      <c r="F75" s="81"/>
      <c r="G75" s="81"/>
      <c r="H75" s="121"/>
      <c r="I75" s="81"/>
      <c r="J75" s="81"/>
      <c r="K75" s="81"/>
      <c r="L75" s="81"/>
      <c r="M75" s="1"/>
      <c r="Q75" s="1"/>
    </row>
    <row r="76" spans="1:17">
      <c r="A76" s="75"/>
      <c r="B76" s="75"/>
      <c r="C76" s="75"/>
      <c r="D76" s="75"/>
      <c r="E76" s="75"/>
      <c r="F76" s="81"/>
      <c r="G76" s="137"/>
      <c r="H76" s="137"/>
      <c r="I76" s="137"/>
      <c r="J76" s="137"/>
      <c r="K76" s="137"/>
      <c r="L76" s="127"/>
      <c r="M76" s="1"/>
      <c r="Q76" s="1"/>
    </row>
    <row r="77" spans="1:17">
      <c r="A77" s="137"/>
      <c r="B77" s="137"/>
      <c r="C77" s="137"/>
      <c r="D77" s="137"/>
      <c r="E77" s="137"/>
      <c r="F77" s="106"/>
      <c r="G77" s="137"/>
      <c r="H77" s="137"/>
      <c r="I77" s="137"/>
      <c r="J77" s="137"/>
      <c r="K77" s="137"/>
      <c r="L77" s="81"/>
      <c r="M77" s="137"/>
      <c r="Q77" s="137"/>
    </row>
    <row r="78" spans="1:17">
      <c r="A78" s="111"/>
      <c r="B78" s="111"/>
      <c r="C78" s="111"/>
      <c r="D78" s="111"/>
      <c r="E78" s="111"/>
      <c r="F78" s="1"/>
      <c r="G78" s="111"/>
      <c r="H78" s="111"/>
      <c r="I78" s="111"/>
      <c r="J78" s="111"/>
      <c r="K78" s="111"/>
      <c r="L78" s="81"/>
      <c r="M78" s="111"/>
      <c r="Q78" s="111"/>
    </row>
    <row r="79" spans="1:17">
      <c r="A79" s="102"/>
      <c r="B79" s="110"/>
      <c r="C79" s="73"/>
      <c r="D79" s="73"/>
      <c r="E79" s="73"/>
      <c r="F79" s="1"/>
      <c r="G79" s="102"/>
      <c r="H79" s="110"/>
      <c r="I79" s="73"/>
      <c r="J79" s="73"/>
      <c r="K79" s="73"/>
      <c r="L79" s="81"/>
      <c r="M79" s="102"/>
      <c r="Q79" s="73"/>
    </row>
    <row r="80" spans="1:17">
      <c r="A80" s="102"/>
      <c r="B80" s="110"/>
      <c r="C80" s="73"/>
      <c r="D80" s="73"/>
      <c r="E80" s="73"/>
      <c r="F80" s="1"/>
      <c r="G80" s="102"/>
      <c r="H80" s="110"/>
      <c r="I80" s="73"/>
      <c r="J80" s="73"/>
      <c r="K80" s="73"/>
      <c r="L80" s="81"/>
      <c r="M80" s="102"/>
      <c r="Q80" s="73"/>
    </row>
    <row r="81" spans="1:17">
      <c r="A81" s="102"/>
      <c r="B81" s="110"/>
      <c r="C81" s="73"/>
      <c r="D81" s="73"/>
      <c r="E81" s="73"/>
      <c r="F81" s="1"/>
      <c r="G81" s="102"/>
      <c r="H81" s="110"/>
      <c r="I81" s="73"/>
      <c r="J81" s="73"/>
      <c r="K81" s="73"/>
      <c r="L81" s="81"/>
      <c r="M81" s="102"/>
      <c r="Q81" s="73"/>
    </row>
    <row r="82" spans="1:17">
      <c r="A82" s="102"/>
      <c r="B82" s="110"/>
      <c r="C82" s="73"/>
      <c r="D82" s="73"/>
      <c r="E82" s="73"/>
      <c r="F82" s="1"/>
      <c r="G82" s="102"/>
      <c r="H82" s="110"/>
      <c r="I82" s="73"/>
      <c r="J82" s="73"/>
      <c r="K82" s="73"/>
      <c r="L82" s="81"/>
      <c r="M82" s="102"/>
      <c r="Q82" s="73"/>
    </row>
    <row r="83" spans="1:17">
      <c r="A83" s="102"/>
      <c r="B83" s="110"/>
      <c r="C83" s="73"/>
      <c r="D83" s="73"/>
      <c r="E83" s="73"/>
      <c r="F83" s="1"/>
      <c r="G83" s="102"/>
      <c r="H83" s="110"/>
      <c r="I83" s="73"/>
      <c r="J83" s="73"/>
      <c r="K83" s="73"/>
      <c r="L83" s="81"/>
      <c r="M83" s="102"/>
      <c r="Q83" s="73"/>
    </row>
    <row r="84" spans="1:17">
      <c r="A84" s="102"/>
      <c r="B84" s="110"/>
      <c r="C84" s="73"/>
      <c r="D84" s="73"/>
      <c r="E84" s="68"/>
      <c r="F84" s="106"/>
      <c r="G84" s="102"/>
      <c r="H84" s="110"/>
      <c r="I84" s="73"/>
      <c r="J84" s="73"/>
      <c r="K84" s="68"/>
      <c r="L84" s="81"/>
      <c r="M84" s="102"/>
      <c r="Q84" s="68"/>
    </row>
    <row r="85" spans="1:17">
      <c r="A85" s="1"/>
      <c r="B85" s="104"/>
      <c r="C85" s="64"/>
      <c r="D85" s="64"/>
      <c r="E85" s="105"/>
      <c r="F85" s="106"/>
      <c r="G85" s="1"/>
      <c r="H85" s="104"/>
      <c r="I85" s="64"/>
      <c r="J85" s="64"/>
      <c r="K85" s="105"/>
      <c r="L85" s="81"/>
      <c r="M85" s="1"/>
      <c r="Q85" s="105"/>
    </row>
    <row r="86" spans="1:17">
      <c r="A86" s="1"/>
      <c r="B86" s="121"/>
      <c r="C86" s="1"/>
      <c r="D86" s="104"/>
      <c r="E86" s="115"/>
      <c r="F86" s="1"/>
      <c r="G86" s="1"/>
      <c r="H86" s="121"/>
      <c r="I86" s="1"/>
      <c r="J86" s="104"/>
      <c r="K86" s="115"/>
      <c r="L86" s="81"/>
      <c r="M86" s="1"/>
      <c r="Q86" s="115"/>
    </row>
    <row r="87" spans="1:17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1"/>
      <c r="Q87" s="1"/>
    </row>
    <row r="88" spans="1:17">
      <c r="A88" s="137"/>
      <c r="B88" s="137"/>
      <c r="C88" s="137"/>
      <c r="D88" s="137"/>
      <c r="E88" s="137"/>
      <c r="F88" s="106"/>
      <c r="G88" s="137"/>
      <c r="H88" s="137"/>
      <c r="I88" s="137"/>
      <c r="J88" s="137"/>
      <c r="K88" s="137"/>
      <c r="L88" s="81"/>
      <c r="M88" s="137"/>
      <c r="Q88" s="137"/>
    </row>
    <row r="89" spans="1:17">
      <c r="A89" s="111"/>
      <c r="B89" s="111"/>
      <c r="C89" s="111"/>
      <c r="D89" s="111"/>
      <c r="E89" s="111"/>
      <c r="F89" s="1"/>
      <c r="G89" s="111"/>
      <c r="H89" s="111"/>
      <c r="I89" s="111"/>
      <c r="J89" s="111"/>
      <c r="K89" s="111"/>
      <c r="L89" s="81"/>
      <c r="M89" s="111"/>
      <c r="Q89" s="111"/>
    </row>
    <row r="90" spans="1:17">
      <c r="A90" s="102"/>
      <c r="B90" s="110"/>
      <c r="C90" s="73"/>
      <c r="D90" s="73"/>
      <c r="E90" s="73"/>
      <c r="F90" s="1"/>
      <c r="G90" s="102"/>
      <c r="H90" s="110"/>
      <c r="I90" s="73"/>
      <c r="J90" s="73"/>
      <c r="K90" s="73"/>
      <c r="L90" s="81"/>
      <c r="M90" s="102"/>
      <c r="Q90" s="73"/>
    </row>
    <row r="91" spans="1:17">
      <c r="A91" s="102"/>
      <c r="B91" s="110"/>
      <c r="C91" s="73"/>
      <c r="D91" s="73"/>
      <c r="E91" s="73"/>
      <c r="F91" s="1"/>
      <c r="G91" s="102"/>
      <c r="H91" s="110"/>
      <c r="I91" s="73"/>
      <c r="J91" s="73"/>
      <c r="K91" s="73"/>
      <c r="L91" s="81"/>
      <c r="M91" s="102"/>
      <c r="Q91" s="73"/>
    </row>
    <row r="92" spans="1:17">
      <c r="A92" s="102"/>
      <c r="B92" s="110"/>
      <c r="C92" s="73"/>
      <c r="D92" s="73"/>
      <c r="E92" s="73"/>
      <c r="F92" s="1"/>
      <c r="G92" s="102"/>
      <c r="H92" s="110"/>
      <c r="I92" s="73"/>
      <c r="J92" s="73"/>
      <c r="K92" s="73"/>
      <c r="L92" s="81"/>
      <c r="M92" s="102"/>
      <c r="Q92" s="73"/>
    </row>
    <row r="93" spans="1:17">
      <c r="A93" s="102"/>
      <c r="B93" s="110"/>
      <c r="C93" s="73"/>
      <c r="D93" s="73"/>
      <c r="E93" s="73"/>
      <c r="F93" s="1"/>
      <c r="G93" s="102"/>
      <c r="H93" s="110"/>
      <c r="I93" s="73"/>
      <c r="J93" s="73"/>
      <c r="K93" s="73"/>
      <c r="L93" s="81"/>
      <c r="M93" s="102"/>
      <c r="Q93" s="73"/>
    </row>
    <row r="94" spans="1:17">
      <c r="A94" s="102"/>
      <c r="B94" s="110"/>
      <c r="C94" s="73"/>
      <c r="D94" s="73"/>
      <c r="E94" s="73"/>
      <c r="F94" s="1"/>
      <c r="G94" s="102"/>
      <c r="H94" s="110"/>
      <c r="I94" s="73"/>
      <c r="J94" s="73"/>
      <c r="K94" s="73"/>
      <c r="L94" s="81"/>
      <c r="M94" s="102"/>
      <c r="Q94" s="73"/>
    </row>
    <row r="95" spans="1:17">
      <c r="A95" s="102"/>
      <c r="B95" s="110"/>
      <c r="C95" s="73"/>
      <c r="D95" s="73"/>
      <c r="E95" s="68"/>
      <c r="F95" s="106"/>
      <c r="G95" s="102"/>
      <c r="H95" s="110"/>
      <c r="I95" s="73"/>
      <c r="J95" s="73"/>
      <c r="K95" s="68"/>
      <c r="L95" s="81"/>
      <c r="M95" s="102"/>
      <c r="Q95" s="68"/>
    </row>
    <row r="96" spans="1:17">
      <c r="A96" s="1"/>
      <c r="B96" s="104"/>
      <c r="C96" s="64"/>
      <c r="D96" s="64"/>
      <c r="E96" s="105"/>
      <c r="F96" s="106"/>
      <c r="G96" s="1"/>
      <c r="H96" s="104"/>
      <c r="I96" s="64"/>
      <c r="J96" s="64"/>
      <c r="K96" s="105"/>
      <c r="L96" s="81"/>
      <c r="M96" s="1"/>
      <c r="Q96" s="105"/>
    </row>
    <row r="97" spans="1:17">
      <c r="A97" s="1"/>
      <c r="B97" s="121"/>
      <c r="C97" s="1"/>
      <c r="D97" s="104"/>
      <c r="E97" s="115"/>
      <c r="F97" s="1"/>
      <c r="G97" s="1"/>
      <c r="H97" s="121"/>
      <c r="I97" s="1"/>
      <c r="J97" s="104"/>
      <c r="K97" s="115"/>
      <c r="L97" s="81"/>
      <c r="M97" s="1"/>
      <c r="Q97" s="115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M98" s="1"/>
      <c r="Q98" s="1"/>
    </row>
    <row r="99" spans="1:17">
      <c r="A99" s="122"/>
      <c r="B99" s="137"/>
      <c r="C99" s="137"/>
      <c r="D99" s="137"/>
      <c r="E99" s="137"/>
      <c r="F99" s="1"/>
      <c r="G99" s="137"/>
      <c r="H99" s="137"/>
      <c r="I99" s="137"/>
      <c r="J99" s="137"/>
      <c r="K99" s="137"/>
      <c r="L99" s="81"/>
      <c r="M99" s="137"/>
      <c r="Q99" s="137"/>
    </row>
    <row r="100" spans="1:17">
      <c r="A100" s="111"/>
      <c r="B100" s="111"/>
      <c r="C100" s="111"/>
      <c r="D100" s="111"/>
      <c r="E100" s="111"/>
      <c r="F100" s="1"/>
      <c r="G100" s="111"/>
      <c r="H100" s="111"/>
      <c r="I100" s="111"/>
      <c r="J100" s="111"/>
      <c r="K100" s="111"/>
      <c r="L100" s="81"/>
      <c r="M100" s="111"/>
      <c r="Q100" s="111"/>
    </row>
    <row r="101" spans="1:17">
      <c r="A101" s="102"/>
      <c r="B101" s="110"/>
      <c r="C101" s="73"/>
      <c r="D101" s="73"/>
      <c r="E101" s="73"/>
      <c r="F101" s="1"/>
      <c r="G101" s="102"/>
      <c r="H101" s="110"/>
      <c r="I101" s="73"/>
      <c r="J101" s="73"/>
      <c r="K101" s="73"/>
      <c r="L101" s="81"/>
      <c r="M101" s="102"/>
      <c r="Q101" s="73"/>
    </row>
    <row r="102" spans="1:17">
      <c r="A102" s="102"/>
      <c r="B102" s="110"/>
      <c r="C102" s="73"/>
      <c r="D102" s="73"/>
      <c r="E102" s="73"/>
      <c r="F102" s="1"/>
      <c r="G102" s="102"/>
      <c r="H102" s="110"/>
      <c r="I102" s="73"/>
      <c r="J102" s="73"/>
      <c r="K102" s="73"/>
      <c r="L102" s="81"/>
      <c r="M102" s="102"/>
      <c r="Q102" s="73"/>
    </row>
    <row r="103" spans="1:17">
      <c r="A103" s="102"/>
      <c r="B103" s="110"/>
      <c r="C103" s="73"/>
      <c r="D103" s="73"/>
      <c r="E103" s="73"/>
      <c r="F103" s="1"/>
      <c r="G103" s="102"/>
      <c r="H103" s="110"/>
      <c r="I103" s="73"/>
      <c r="J103" s="73"/>
      <c r="K103" s="73"/>
      <c r="L103" s="81"/>
      <c r="M103" s="102"/>
      <c r="Q103" s="73"/>
    </row>
    <row r="104" spans="1:17">
      <c r="A104" s="102"/>
      <c r="B104" s="107"/>
      <c r="C104" s="73"/>
      <c r="D104" s="73"/>
      <c r="E104" s="73"/>
      <c r="F104" s="1"/>
      <c r="G104" s="102"/>
      <c r="H104" s="107"/>
      <c r="I104" s="73"/>
      <c r="J104" s="73"/>
      <c r="K104" s="73"/>
      <c r="L104" s="81"/>
      <c r="M104" s="102"/>
      <c r="Q104" s="73"/>
    </row>
    <row r="105" spans="1:17">
      <c r="A105" s="102"/>
      <c r="B105" s="107"/>
      <c r="C105" s="73"/>
      <c r="D105" s="73"/>
      <c r="E105" s="73"/>
      <c r="F105" s="1"/>
      <c r="G105" s="102"/>
      <c r="H105" s="107"/>
      <c r="I105" s="73"/>
      <c r="J105" s="73"/>
      <c r="K105" s="73"/>
      <c r="L105" s="81"/>
      <c r="M105" s="102"/>
      <c r="Q105" s="73"/>
    </row>
    <row r="106" spans="1:17">
      <c r="A106" s="102"/>
      <c r="B106" s="110"/>
      <c r="C106" s="73"/>
      <c r="D106" s="73"/>
      <c r="E106" s="68"/>
      <c r="F106" s="1"/>
      <c r="G106" s="102"/>
      <c r="H106" s="110"/>
      <c r="I106" s="73"/>
      <c r="J106" s="73"/>
      <c r="K106" s="68"/>
      <c r="L106" s="81"/>
      <c r="M106" s="102"/>
      <c r="Q106" s="68"/>
    </row>
    <row r="107" spans="1:17">
      <c r="A107" s="1"/>
      <c r="B107" s="104"/>
      <c r="C107" s="64"/>
      <c r="D107" s="64"/>
      <c r="E107" s="105"/>
      <c r="F107" s="1"/>
      <c r="G107" s="1"/>
      <c r="H107" s="104"/>
      <c r="I107" s="64"/>
      <c r="J107" s="64"/>
      <c r="K107" s="105"/>
      <c r="L107" s="81"/>
      <c r="M107" s="1"/>
      <c r="Q107" s="105"/>
    </row>
    <row r="108" spans="1:17">
      <c r="A108" s="1"/>
      <c r="B108" s="121"/>
      <c r="C108" s="1"/>
      <c r="D108" s="104"/>
      <c r="E108" s="115"/>
      <c r="F108" s="1"/>
      <c r="G108" s="1"/>
      <c r="H108" s="121"/>
      <c r="I108" s="1"/>
      <c r="J108" s="104"/>
      <c r="K108" s="115"/>
      <c r="M108" s="1"/>
      <c r="Q108" s="115"/>
    </row>
    <row r="109" spans="1:17">
      <c r="G109" s="1"/>
      <c r="H109" s="1"/>
      <c r="I109" s="1"/>
      <c r="J109" s="1"/>
      <c r="K109" s="1"/>
      <c r="L109" s="1"/>
      <c r="M109" s="1"/>
    </row>
    <row r="110" spans="1:17">
      <c r="A110" s="137"/>
      <c r="B110" s="137"/>
      <c r="C110" s="137"/>
      <c r="D110" s="137"/>
      <c r="E110" s="137"/>
      <c r="G110" s="1"/>
      <c r="H110" s="1"/>
      <c r="I110" s="1"/>
      <c r="J110" s="1"/>
      <c r="K110" s="1"/>
      <c r="L110" s="1"/>
      <c r="M110" s="1"/>
    </row>
    <row r="111" spans="1:17">
      <c r="A111" s="77"/>
      <c r="B111" s="77"/>
      <c r="C111" s="77"/>
      <c r="D111" s="77"/>
      <c r="E111" s="77"/>
      <c r="G111" s="1"/>
      <c r="H111" s="1"/>
      <c r="I111" s="1"/>
      <c r="J111" s="1"/>
      <c r="K111" s="1"/>
      <c r="L111" s="1"/>
      <c r="M111" s="1"/>
    </row>
    <row r="112" spans="1:17">
      <c r="A112" s="80"/>
      <c r="B112" s="107"/>
      <c r="C112" s="68"/>
      <c r="D112" s="68"/>
      <c r="E112" s="68"/>
      <c r="G112" s="1"/>
      <c r="H112" s="1"/>
      <c r="I112" s="1"/>
      <c r="J112" s="1"/>
      <c r="K112" s="1"/>
      <c r="L112" s="1"/>
      <c r="M112" s="1"/>
    </row>
    <row r="113" spans="1:13">
      <c r="A113" s="80"/>
      <c r="B113" s="107"/>
      <c r="C113" s="68"/>
      <c r="D113" s="68"/>
      <c r="E113" s="68"/>
      <c r="G113" s="102"/>
      <c r="H113" s="103"/>
      <c r="I113" s="73"/>
      <c r="J113" s="73"/>
      <c r="K113" s="73"/>
      <c r="L113" s="1"/>
      <c r="M113" s="1"/>
    </row>
    <row r="114" spans="1:13">
      <c r="A114" s="80"/>
      <c r="B114" s="107"/>
      <c r="C114" s="68"/>
      <c r="D114" s="68"/>
      <c r="E114" s="68"/>
      <c r="G114" s="102"/>
      <c r="H114" s="103"/>
      <c r="I114" s="73"/>
      <c r="J114" s="73"/>
      <c r="K114" s="73"/>
      <c r="L114" s="1"/>
      <c r="M114" s="1"/>
    </row>
    <row r="115" spans="1:13">
      <c r="G115" s="1"/>
      <c r="H115" s="1"/>
      <c r="I115" s="1"/>
      <c r="J115" s="1"/>
      <c r="K115" s="1"/>
      <c r="L115" s="1"/>
      <c r="M115" s="1"/>
    </row>
    <row r="116" spans="1:13">
      <c r="G116" s="1"/>
      <c r="H116" s="1"/>
      <c r="I116" s="1"/>
      <c r="J116" s="1"/>
      <c r="K116" s="1"/>
      <c r="L116" s="1"/>
      <c r="M116" s="1"/>
    </row>
    <row r="117" spans="1:13">
      <c r="G117" s="1"/>
      <c r="H117" s="1"/>
      <c r="I117" s="1"/>
      <c r="J117" s="1"/>
      <c r="K117" s="1"/>
      <c r="L117" s="1"/>
      <c r="M117" s="1"/>
    </row>
    <row r="118" spans="1:13">
      <c r="G118" s="1"/>
      <c r="H118" s="1"/>
      <c r="I118" s="1"/>
      <c r="J118" s="1"/>
      <c r="K118" s="1"/>
      <c r="L118" s="1"/>
      <c r="M118" s="1"/>
    </row>
    <row r="119" spans="1:13">
      <c r="G119" s="1"/>
      <c r="H119" s="1"/>
      <c r="I119" s="1"/>
      <c r="J119" s="1"/>
      <c r="K119" s="1"/>
      <c r="L119" s="1"/>
      <c r="M119" s="1"/>
    </row>
    <row r="123" spans="1:13">
      <c r="A123" s="1"/>
      <c r="B123" s="1"/>
      <c r="C123" s="1"/>
      <c r="D123" s="1"/>
      <c r="E123" s="1"/>
    </row>
    <row r="124" spans="1:13">
      <c r="A124" s="102"/>
      <c r="B124" s="110"/>
      <c r="C124" s="110"/>
      <c r="D124" s="110"/>
      <c r="E124" s="73"/>
      <c r="G124" s="102"/>
      <c r="H124" s="103"/>
      <c r="I124" s="73"/>
      <c r="J124" s="73"/>
      <c r="K124" s="73"/>
    </row>
    <row r="125" spans="1:13">
      <c r="A125" s="102"/>
      <c r="B125" s="110"/>
      <c r="C125" s="110"/>
      <c r="D125" s="110"/>
      <c r="E125" s="73"/>
      <c r="G125" s="102"/>
      <c r="H125" s="103"/>
      <c r="I125" s="73"/>
      <c r="J125" s="73"/>
      <c r="K125" s="73"/>
    </row>
    <row r="126" spans="1:13">
      <c r="A126" s="102"/>
      <c r="B126" s="110"/>
      <c r="C126" s="110"/>
      <c r="D126" s="110"/>
      <c r="E126" s="68"/>
      <c r="G126" s="102"/>
      <c r="H126" s="103"/>
      <c r="I126" s="73"/>
      <c r="J126" s="73"/>
      <c r="K126" s="68"/>
    </row>
    <row r="127" spans="1:13">
      <c r="A127" s="1"/>
      <c r="B127" s="104"/>
      <c r="C127" s="64"/>
      <c r="D127" s="64"/>
      <c r="E127" s="105"/>
      <c r="G127" s="1"/>
      <c r="H127" s="104"/>
      <c r="I127" s="64"/>
      <c r="J127" s="64"/>
      <c r="K127" s="105"/>
    </row>
  </sheetData>
  <mergeCells count="3">
    <mergeCell ref="A1:AC1"/>
    <mergeCell ref="A2:AC2"/>
    <mergeCell ref="G4:I4"/>
  </mergeCells>
  <phoneticPr fontId="21" type="noConversion"/>
  <conditionalFormatting sqref="P29:P34">
    <cfRule type="cellIs" dxfId="650" priority="10" operator="equal">
      <formula>3</formula>
    </cfRule>
    <cfRule type="cellIs" dxfId="649" priority="11" operator="equal">
      <formula>2</formula>
    </cfRule>
    <cfRule type="cellIs" dxfId="648" priority="12" operator="equal">
      <formula>1</formula>
    </cfRule>
  </conditionalFormatting>
  <conditionalFormatting sqref="Y7:Y49">
    <cfRule type="cellIs" dxfId="647" priority="7" operator="equal">
      <formula>3</formula>
    </cfRule>
    <cfRule type="cellIs" dxfId="646" priority="8" operator="equal">
      <formula>2</formula>
    </cfRule>
    <cfRule type="cellIs" dxfId="645" priority="9" operator="equal">
      <formula>1</formula>
    </cfRule>
  </conditionalFormatting>
  <conditionalFormatting sqref="AA7:AA49">
    <cfRule type="cellIs" dxfId="644" priority="4" operator="equal">
      <formula>3</formula>
    </cfRule>
    <cfRule type="cellIs" dxfId="643" priority="5" operator="equal">
      <formula>2</formula>
    </cfRule>
    <cfRule type="cellIs" dxfId="642" priority="6" operator="equal">
      <formula>1</formula>
    </cfRule>
  </conditionalFormatting>
  <conditionalFormatting sqref="AC7:AC49">
    <cfRule type="cellIs" dxfId="641" priority="1" operator="equal">
      <formula>3</formula>
    </cfRule>
    <cfRule type="cellIs" dxfId="640" priority="2" operator="equal">
      <formula>2</formula>
    </cfRule>
    <cfRule type="cellIs" dxfId="639" priority="3" operator="equal">
      <formula>1</formula>
    </cfRule>
  </conditionalFormatting>
  <pageMargins left="0.75" right="0.75" top="1" bottom="1" header="0.5" footer="0.5"/>
  <pageSetup paperSize="9" scale="52" orientation="landscape" horizontalDpi="4294967292" verticalDpi="4294967292"/>
  <colBreaks count="1" manualBreakCount="1">
    <brk id="29" max="1048575" man="1"/>
  </colBreaks>
  <ignoredErrors>
    <ignoredError sqref="Z7:Z49" formula="1"/>
  </ignoredErrors>
  <tableParts count="2">
    <tablePart r:id="rId1"/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D18"/>
  <sheetViews>
    <sheetView topLeftCell="AO1" zoomScale="90" zoomScaleNormal="90" zoomScalePageLayoutView="90" workbookViewId="0">
      <selection activeCell="A4" sqref="A4"/>
    </sheetView>
  </sheetViews>
  <sheetFormatPr defaultColWidth="8.875" defaultRowHeight="15.75"/>
  <cols>
    <col min="1" max="1" width="5.5" bestFit="1" customWidth="1"/>
    <col min="2" max="2" width="4.625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4.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  <col min="34" max="34" width="0.5" customWidth="1"/>
  </cols>
  <sheetData>
    <row r="1" spans="1:8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8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"/>
      <c r="BI2" s="2"/>
    </row>
    <row r="3" spans="1:82" ht="23.25"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21">
      <c r="A4" s="8"/>
      <c r="F4" s="1"/>
      <c r="G4" s="1"/>
      <c r="H4" s="1"/>
      <c r="I4" s="1"/>
      <c r="J4" s="1"/>
      <c r="K4" s="1"/>
      <c r="L4" s="467" t="s">
        <v>1303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>
      <c r="V5" s="1"/>
    </row>
    <row r="6" spans="1:82">
      <c r="A6" s="470" t="s">
        <v>555</v>
      </c>
      <c r="B6" s="471"/>
      <c r="C6" s="471"/>
      <c r="D6" s="471"/>
      <c r="E6" s="471"/>
      <c r="F6" s="472"/>
      <c r="G6" s="8"/>
      <c r="H6" s="8"/>
      <c r="I6" s="8"/>
      <c r="J6" s="8"/>
      <c r="K6" s="8"/>
      <c r="L6" s="470" t="s">
        <v>388</v>
      </c>
      <c r="M6" s="471"/>
      <c r="N6" s="471"/>
      <c r="O6" s="471"/>
      <c r="P6" s="471"/>
      <c r="Q6" s="472"/>
      <c r="R6" s="8"/>
      <c r="S6" s="8"/>
      <c r="T6" s="8"/>
      <c r="U6" s="8"/>
      <c r="V6" s="8"/>
      <c r="W6" s="175"/>
      <c r="X6" s="175"/>
      <c r="Y6" s="39" t="s">
        <v>12</v>
      </c>
      <c r="Z6" s="43" t="s">
        <v>5</v>
      </c>
      <c r="AA6" s="44" t="s">
        <v>11</v>
      </c>
      <c r="AB6" s="175"/>
      <c r="AC6" s="8"/>
      <c r="AD6" s="8"/>
      <c r="AE6" s="8"/>
      <c r="AF6" s="8"/>
      <c r="AG6" s="8"/>
    </row>
    <row r="7" spans="1:82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11"/>
      <c r="I7" s="11" t="s">
        <v>7</v>
      </c>
      <c r="J7" s="11"/>
      <c r="L7" s="9" t="s">
        <v>0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R7" s="112" t="s">
        <v>6</v>
      </c>
      <c r="S7" s="11"/>
      <c r="T7" s="11" t="s">
        <v>7</v>
      </c>
      <c r="U7" s="11"/>
      <c r="W7" s="77"/>
      <c r="X7" s="77"/>
      <c r="Y7" s="45" t="s">
        <v>555</v>
      </c>
      <c r="Z7" s="47">
        <f>F14</f>
        <v>68.650000000000006</v>
      </c>
      <c r="AA7" s="40">
        <f>SUMPRODUCT((Z$7:Z$8&gt;Z7)/COUNTIF(Z$7:Z$8,Z$7:Z$8&amp;""))+1</f>
        <v>2</v>
      </c>
      <c r="AB7" s="77"/>
      <c r="AC7" s="112" t="s">
        <v>6</v>
      </c>
      <c r="AD7" s="11"/>
      <c r="AE7" s="11" t="s">
        <v>7</v>
      </c>
      <c r="AF7" s="11"/>
    </row>
    <row r="8" spans="1:82">
      <c r="A8" s="12" t="s">
        <v>8</v>
      </c>
      <c r="B8" s="149">
        <v>900</v>
      </c>
      <c r="C8" s="93" t="s">
        <v>383</v>
      </c>
      <c r="D8" s="13">
        <v>8.8000000000000007</v>
      </c>
      <c r="E8" s="13">
        <v>9.1999999999999993</v>
      </c>
      <c r="F8" s="13">
        <f>SUM(D8:E8)</f>
        <v>18</v>
      </c>
      <c r="G8" s="11">
        <f t="shared" ref="G8:G13" si="0">IF(A8="M",D8)</f>
        <v>8.8000000000000007</v>
      </c>
      <c r="H8" s="11" t="b">
        <f t="shared" ref="H8:H13" si="1">IF(A8="F",D8)</f>
        <v>0</v>
      </c>
      <c r="I8" s="11">
        <f t="shared" ref="I8:I13" si="2">IF(A8="M",E8)</f>
        <v>9.1999999999999993</v>
      </c>
      <c r="J8" s="11" t="b">
        <f t="shared" ref="J8:J13" si="3">IF(A8="F",E8)</f>
        <v>0</v>
      </c>
      <c r="L8" s="12" t="s">
        <v>8</v>
      </c>
      <c r="M8" s="149">
        <v>906</v>
      </c>
      <c r="N8" s="93" t="s">
        <v>429</v>
      </c>
      <c r="O8" s="13">
        <v>8.6999999999999993</v>
      </c>
      <c r="P8" s="13">
        <v>8.9</v>
      </c>
      <c r="Q8" s="13">
        <f>SUM(O8:P8)</f>
        <v>17.600000000000001</v>
      </c>
      <c r="R8" s="11" t="e">
        <f>IF(L8="M",#REF!)</f>
        <v>#REF!</v>
      </c>
      <c r="S8" s="11" t="b">
        <f>IF(L8="F",#REF!)</f>
        <v>0</v>
      </c>
      <c r="T8" s="11" t="e">
        <f>IF(L8="M",#REF!)</f>
        <v>#REF!</v>
      </c>
      <c r="U8" s="11" t="b">
        <f>IF(L8="F",#REF!)</f>
        <v>0</v>
      </c>
      <c r="W8" s="80"/>
      <c r="X8" s="80"/>
      <c r="Y8" s="45" t="s">
        <v>397</v>
      </c>
      <c r="Z8" s="47">
        <f>Q14</f>
        <v>69.550000000000011</v>
      </c>
      <c r="AA8" s="40">
        <f>SUMPRODUCT((Z$7:Z$8&gt;Z8)/COUNTIF(Z$7:Z$8,Z$7:Z$8&amp;""))+1</f>
        <v>1</v>
      </c>
      <c r="AB8" s="68"/>
      <c r="AC8" s="11" t="b">
        <f>IF(W8="M",#REF!)</f>
        <v>0</v>
      </c>
      <c r="AD8" s="11" t="b">
        <f>IF(W8="F",#REF!)</f>
        <v>0</v>
      </c>
      <c r="AE8" s="11" t="b">
        <f>IF(W8="M",#REF!)</f>
        <v>0</v>
      </c>
      <c r="AF8" s="11" t="b">
        <f>IF(W8="F",#REF!)</f>
        <v>0</v>
      </c>
    </row>
    <row r="9" spans="1:82">
      <c r="A9" s="12" t="s">
        <v>8</v>
      </c>
      <c r="B9" s="149">
        <v>901</v>
      </c>
      <c r="C9" s="93" t="s">
        <v>999</v>
      </c>
      <c r="D9" s="13">
        <v>7.5</v>
      </c>
      <c r="E9" s="13">
        <v>8.1999999999999993</v>
      </c>
      <c r="F9" s="13">
        <f>SUM(D9:E9)</f>
        <v>15.7</v>
      </c>
      <c r="G9" s="11">
        <f t="shared" si="0"/>
        <v>7.5</v>
      </c>
      <c r="H9" s="11" t="b">
        <f t="shared" si="1"/>
        <v>0</v>
      </c>
      <c r="I9" s="11">
        <f t="shared" si="2"/>
        <v>8.1999999999999993</v>
      </c>
      <c r="J9" s="11" t="b">
        <f t="shared" si="3"/>
        <v>0</v>
      </c>
      <c r="L9" s="12" t="s">
        <v>8</v>
      </c>
      <c r="M9" s="149">
        <v>907</v>
      </c>
      <c r="N9" s="93" t="s">
        <v>428</v>
      </c>
      <c r="O9" s="13">
        <v>9.6</v>
      </c>
      <c r="P9" s="13">
        <v>9.1</v>
      </c>
      <c r="Q9" s="13">
        <f>SUM(O9:P9)</f>
        <v>18.7</v>
      </c>
      <c r="R9" s="11">
        <f>IF(L9="M",O8)</f>
        <v>8.6999999999999993</v>
      </c>
      <c r="S9" s="11" t="b">
        <f>IF(L9="F",O8)</f>
        <v>0</v>
      </c>
      <c r="T9" s="11">
        <f>IF(L9="M",P8)</f>
        <v>8.9</v>
      </c>
      <c r="U9" s="11" t="b">
        <f>IF(L9="F",P8)</f>
        <v>0</v>
      </c>
      <c r="W9" s="80"/>
      <c r="X9" s="80"/>
      <c r="AB9" s="68"/>
      <c r="AC9" s="11" t="b">
        <f>IF(W9="M",#REF!)</f>
        <v>0</v>
      </c>
      <c r="AD9" s="11" t="b">
        <f>IF(W9="F",#REF!)</f>
        <v>0</v>
      </c>
      <c r="AE9" s="11" t="b">
        <f>IF(W9="M",#REF!)</f>
        <v>0</v>
      </c>
      <c r="AF9" s="11" t="b">
        <f>IF(W9="F",#REF!)</f>
        <v>0</v>
      </c>
    </row>
    <row r="10" spans="1:82">
      <c r="A10" s="12" t="s">
        <v>8</v>
      </c>
      <c r="B10" s="149">
        <v>902</v>
      </c>
      <c r="C10" s="93" t="s">
        <v>1000</v>
      </c>
      <c r="D10" s="13">
        <v>8.65</v>
      </c>
      <c r="E10" s="13">
        <v>9</v>
      </c>
      <c r="F10" s="13">
        <f t="shared" ref="F10:F13" si="4">SUM(D10:E10)</f>
        <v>17.649999999999999</v>
      </c>
      <c r="G10" s="11">
        <f t="shared" si="0"/>
        <v>8.65</v>
      </c>
      <c r="H10" s="11" t="b">
        <f t="shared" si="1"/>
        <v>0</v>
      </c>
      <c r="I10" s="11">
        <f t="shared" si="2"/>
        <v>9</v>
      </c>
      <c r="J10" s="11" t="b">
        <f t="shared" si="3"/>
        <v>0</v>
      </c>
      <c r="L10" s="12" t="s">
        <v>8</v>
      </c>
      <c r="M10" s="149">
        <v>908</v>
      </c>
      <c r="N10" s="97"/>
      <c r="O10" s="13">
        <v>0</v>
      </c>
      <c r="P10" s="13">
        <v>0</v>
      </c>
      <c r="Q10" s="13">
        <f t="shared" ref="Q10:Q13" si="5">SUM(O10:P10)</f>
        <v>0</v>
      </c>
      <c r="R10" s="11" t="b">
        <f>IF(L11="M",O9)</f>
        <v>0</v>
      </c>
      <c r="S10" s="11">
        <f>IF(L11="F",O9)</f>
        <v>9.6</v>
      </c>
      <c r="T10" s="11" t="b">
        <f>IF(L11="M",P9)</f>
        <v>0</v>
      </c>
      <c r="U10" s="11">
        <f>IF(L11="F",P9)</f>
        <v>9.1</v>
      </c>
      <c r="W10" s="80"/>
      <c r="X10" s="80"/>
      <c r="Y10" s="107"/>
      <c r="Z10" s="68"/>
      <c r="AA10" s="68"/>
      <c r="AB10" s="68"/>
      <c r="AC10" s="11" t="b">
        <f>IF(W10="M",#REF!)</f>
        <v>0</v>
      </c>
      <c r="AD10" s="11" t="b">
        <f>IF(W10="F",#REF!)</f>
        <v>0</v>
      </c>
      <c r="AE10" s="11" t="b">
        <f>IF(W10="M",#REF!)</f>
        <v>0</v>
      </c>
      <c r="AF10" s="11" t="b">
        <f>IF(W10="F",#REF!)</f>
        <v>0</v>
      </c>
    </row>
    <row r="11" spans="1:82">
      <c r="A11" s="12" t="s">
        <v>9</v>
      </c>
      <c r="B11" s="149">
        <v>903</v>
      </c>
      <c r="C11" s="93" t="s">
        <v>1001</v>
      </c>
      <c r="D11" s="14">
        <v>7.9</v>
      </c>
      <c r="E11" s="14">
        <v>8.6999999999999993</v>
      </c>
      <c r="F11" s="13">
        <f t="shared" si="4"/>
        <v>16.600000000000001</v>
      </c>
      <c r="G11" s="15" t="b">
        <f t="shared" si="0"/>
        <v>0</v>
      </c>
      <c r="H11" s="15">
        <f t="shared" si="1"/>
        <v>7.9</v>
      </c>
      <c r="I11" s="15" t="b">
        <f t="shared" si="2"/>
        <v>0</v>
      </c>
      <c r="J11" s="15">
        <f t="shared" si="3"/>
        <v>8.6999999999999993</v>
      </c>
      <c r="K11" s="8"/>
      <c r="L11" s="12" t="s">
        <v>9</v>
      </c>
      <c r="M11" s="149">
        <v>909</v>
      </c>
      <c r="N11" s="97"/>
      <c r="O11" s="14">
        <v>0</v>
      </c>
      <c r="P11" s="14">
        <v>0</v>
      </c>
      <c r="Q11" s="13">
        <f t="shared" si="5"/>
        <v>0</v>
      </c>
      <c r="R11" s="15" t="b">
        <f>IF(L12="M",O10)</f>
        <v>0</v>
      </c>
      <c r="S11" s="15">
        <f>IF(L12="F",O10)</f>
        <v>0</v>
      </c>
      <c r="T11" s="15" t="b">
        <f>IF(L12="M",P10)</f>
        <v>0</v>
      </c>
      <c r="U11" s="15">
        <f>IF(L12="F",P10)</f>
        <v>0</v>
      </c>
      <c r="V11" s="8"/>
      <c r="W11" s="80"/>
      <c r="X11" s="80"/>
      <c r="Y11" s="107"/>
      <c r="Z11" s="68"/>
      <c r="AA11" s="68"/>
      <c r="AB11" s="68"/>
      <c r="AC11" s="15" t="b">
        <f>IF(W11="M",#REF!)</f>
        <v>0</v>
      </c>
      <c r="AD11" s="15" t="b">
        <f>IF(W11="F",#REF!)</f>
        <v>0</v>
      </c>
      <c r="AE11" s="15" t="b">
        <f>IF(W11="M",#REF!)</f>
        <v>0</v>
      </c>
      <c r="AF11" s="15" t="b">
        <f>IF(W11="F",#REF!)</f>
        <v>0</v>
      </c>
      <c r="AG11" s="8"/>
    </row>
    <row r="12" spans="1:82">
      <c r="A12" s="12" t="s">
        <v>9</v>
      </c>
      <c r="B12" s="149">
        <v>904</v>
      </c>
      <c r="C12" s="100" t="s">
        <v>385</v>
      </c>
      <c r="D12" s="14">
        <v>8.3000000000000007</v>
      </c>
      <c r="E12" s="14">
        <v>8.1</v>
      </c>
      <c r="F12" s="13">
        <f t="shared" si="4"/>
        <v>16.399999999999999</v>
      </c>
      <c r="G12" s="15" t="b">
        <f t="shared" si="0"/>
        <v>0</v>
      </c>
      <c r="H12" s="15">
        <f t="shared" si="1"/>
        <v>8.3000000000000007</v>
      </c>
      <c r="I12" s="15" t="b">
        <f t="shared" si="2"/>
        <v>0</v>
      </c>
      <c r="J12" s="15">
        <f t="shared" si="3"/>
        <v>8.1</v>
      </c>
      <c r="K12" s="8"/>
      <c r="L12" s="12" t="s">
        <v>9</v>
      </c>
      <c r="M12" s="149">
        <v>910</v>
      </c>
      <c r="N12" s="100" t="s">
        <v>404</v>
      </c>
      <c r="O12" s="14">
        <v>8.65</v>
      </c>
      <c r="P12" s="14">
        <v>7.4</v>
      </c>
      <c r="Q12" s="13">
        <f t="shared" si="5"/>
        <v>16.05</v>
      </c>
      <c r="R12" s="15" t="b">
        <f>IF(L13="M",O11)</f>
        <v>0</v>
      </c>
      <c r="S12" s="15">
        <f>IF(L13="F",O11)</f>
        <v>0</v>
      </c>
      <c r="T12" s="15" t="b">
        <f>IF(L13="M",P11)</f>
        <v>0</v>
      </c>
      <c r="U12" s="15">
        <f>IF(L13="F",P11)</f>
        <v>0</v>
      </c>
      <c r="V12" s="8"/>
      <c r="W12" s="80"/>
      <c r="X12" s="80"/>
      <c r="Y12" s="107"/>
      <c r="Z12" s="68"/>
      <c r="AA12" s="68"/>
      <c r="AB12" s="68"/>
      <c r="AC12" s="15" t="b">
        <f>IF(W12="M",Z10)</f>
        <v>0</v>
      </c>
      <c r="AD12" s="15" t="b">
        <f>IF(W12="F",Z10)</f>
        <v>0</v>
      </c>
      <c r="AE12" s="15" t="b">
        <f>IF(W12="M",AA10)</f>
        <v>0</v>
      </c>
      <c r="AF12" s="15" t="b">
        <f>IF(W12="F",AA10)</f>
        <v>0</v>
      </c>
      <c r="AG12" s="8"/>
    </row>
    <row r="13" spans="1:82" ht="16.5" thickBot="1">
      <c r="A13" s="12" t="s">
        <v>9</v>
      </c>
      <c r="B13" s="149">
        <v>905</v>
      </c>
      <c r="C13" s="97"/>
      <c r="D13" s="14">
        <v>0</v>
      </c>
      <c r="E13" s="14">
        <v>0</v>
      </c>
      <c r="F13" s="13">
        <f t="shared" si="4"/>
        <v>0</v>
      </c>
      <c r="G13" s="15" t="b">
        <f t="shared" si="0"/>
        <v>0</v>
      </c>
      <c r="H13" s="15">
        <f t="shared" si="1"/>
        <v>0</v>
      </c>
      <c r="I13" s="15" t="b">
        <f t="shared" si="2"/>
        <v>0</v>
      </c>
      <c r="J13" s="15">
        <f t="shared" si="3"/>
        <v>0</v>
      </c>
      <c r="K13" s="8"/>
      <c r="L13" s="12" t="s">
        <v>9</v>
      </c>
      <c r="M13" s="149">
        <v>911</v>
      </c>
      <c r="N13" s="100" t="s">
        <v>405</v>
      </c>
      <c r="O13" s="14">
        <v>8.9</v>
      </c>
      <c r="P13" s="14">
        <v>8.3000000000000007</v>
      </c>
      <c r="Q13" s="13">
        <f t="shared" si="5"/>
        <v>17.200000000000003</v>
      </c>
      <c r="R13" s="15">
        <f>IF(L10="M",O12)</f>
        <v>8.65</v>
      </c>
      <c r="S13" s="15" t="b">
        <f>IF(L10="F",O12)</f>
        <v>0</v>
      </c>
      <c r="T13" s="15">
        <f>IF(L10="M",P12)</f>
        <v>7.4</v>
      </c>
      <c r="U13" s="15" t="b">
        <f>IF(L10="F",P12)</f>
        <v>0</v>
      </c>
      <c r="V13" s="8"/>
      <c r="W13" s="80"/>
      <c r="X13" s="80"/>
      <c r="Y13" s="107"/>
      <c r="Z13" s="68"/>
      <c r="AA13" s="68"/>
      <c r="AB13" s="68"/>
      <c r="AC13" s="15" t="b">
        <f>IF(W13="M",Z11)</f>
        <v>0</v>
      </c>
      <c r="AD13" s="15" t="b">
        <f>IF(W13="F",Z11)</f>
        <v>0</v>
      </c>
      <c r="AE13" s="15" t="b">
        <f>IF(W13="M",AA11)</f>
        <v>0</v>
      </c>
      <c r="AF13" s="15" t="b">
        <f>IF(W13="F",AA11)</f>
        <v>0</v>
      </c>
      <c r="AG13" s="8"/>
    </row>
    <row r="14" spans="1:82" ht="16.5" thickBot="1">
      <c r="A14" s="8"/>
      <c r="B14" s="8"/>
      <c r="C14" s="18" t="s">
        <v>10</v>
      </c>
      <c r="D14" s="19">
        <f>G15+H15</f>
        <v>33.650000000000006</v>
      </c>
      <c r="E14" s="19">
        <f>I15+J15</f>
        <v>35</v>
      </c>
      <c r="F14" s="20">
        <f>SUM(D14:E14)</f>
        <v>68.650000000000006</v>
      </c>
      <c r="G14" s="8">
        <f>COUNTIF(A8:A13,"M")</f>
        <v>3</v>
      </c>
      <c r="H14" s="8">
        <f>COUNTIF(A8:A13,"F")</f>
        <v>3</v>
      </c>
      <c r="I14" s="8">
        <f>COUNTIF(A8:A13,"M")</f>
        <v>3</v>
      </c>
      <c r="J14" s="8">
        <f>COUNTIF(A8:A13,"F")</f>
        <v>3</v>
      </c>
      <c r="K14" s="8"/>
      <c r="L14" s="8"/>
      <c r="M14" s="8"/>
      <c r="N14" s="18" t="s">
        <v>10</v>
      </c>
      <c r="O14" s="19">
        <v>35.85</v>
      </c>
      <c r="P14" s="19">
        <v>33.700000000000003</v>
      </c>
      <c r="Q14" s="20">
        <f>SUM(O14:P14)</f>
        <v>69.550000000000011</v>
      </c>
      <c r="R14" s="8">
        <f>COUNTIF(L8:L10,"M")</f>
        <v>3</v>
      </c>
      <c r="S14" s="8">
        <f>COUNTIF(L8:L10,"F")</f>
        <v>0</v>
      </c>
      <c r="T14" s="8">
        <f>COUNTIF(L8:L10,"M")</f>
        <v>3</v>
      </c>
      <c r="U14" s="8">
        <f>COUNTIF(L8:L10,"F")</f>
        <v>0</v>
      </c>
      <c r="V14" s="8"/>
      <c r="W14" s="106"/>
      <c r="X14" s="106"/>
      <c r="Y14" s="84"/>
      <c r="Z14" s="64"/>
      <c r="AA14" s="64"/>
      <c r="AB14" s="105"/>
      <c r="AC14" s="8">
        <f>COUNTIF(W8:W13,"M")</f>
        <v>0</v>
      </c>
      <c r="AD14" s="8">
        <f>COUNTIF(W8:W13,"F")</f>
        <v>0</v>
      </c>
      <c r="AE14" s="8">
        <f>COUNTIF(W8:W13,"M")</f>
        <v>0</v>
      </c>
      <c r="AF14" s="8">
        <f>COUNTIF(W8:W13,"F")</f>
        <v>0</v>
      </c>
      <c r="AG14" s="8"/>
    </row>
    <row r="15" spans="1:82">
      <c r="C15" s="94" t="s">
        <v>1302</v>
      </c>
      <c r="D15" s="8"/>
      <c r="E15" s="18"/>
      <c r="F15" s="22"/>
      <c r="G15" s="23">
        <f>IF(G14=2,SUM(G8:G13),IF(G14=3,SUM(G8:G13)-SMALL(G8:G13,1),IF(G14=4,SUM(G8:G13)-SMALL(G8:G13,1)-SMALL(G8:G13,2))))</f>
        <v>17.450000000000003</v>
      </c>
      <c r="H15" s="23">
        <f>IF(H14=2,SUM(H8:H13),IF(H14=3,SUM(H8:H13)-SMALL(H8:H13,1),IF(H14=4,SUM(H8:H13)-SMALL(H8:H13,1)-SMALL(H8:H13,2))))</f>
        <v>16.200000000000003</v>
      </c>
      <c r="I15" s="23">
        <f>IF(I14=2,SUM(I8:I13),IF(I14=3,SUM(I8:I13)-SMALL(I8:I13,1),IF(I14=4,SUM(I8:I13)-SMALL(I8:I13,1)-SMALL(I8:I13,2))))</f>
        <v>18.2</v>
      </c>
      <c r="J15" s="23">
        <f>IF(J14=2,SUM(J8:J13),IF(J14=3,SUM(J8:J13)-SMALL(J8:J13,1),IF(J14=4,SUM(J8:J13)-SMALL(J8:J13,1)-SMALL(J8:J13,2))))</f>
        <v>16.799999999999997</v>
      </c>
      <c r="K15" s="8"/>
      <c r="N15" s="94" t="s">
        <v>1302</v>
      </c>
    </row>
    <row r="18" spans="3:3">
      <c r="C18" s="70"/>
    </row>
  </sheetData>
  <mergeCells count="5">
    <mergeCell ref="A1:AB1"/>
    <mergeCell ref="A2:AB2"/>
    <mergeCell ref="L4:O4"/>
    <mergeCell ref="A6:F6"/>
    <mergeCell ref="L6:Q6"/>
  </mergeCells>
  <phoneticPr fontId="21" type="noConversion"/>
  <conditionalFormatting sqref="AA7:AA8">
    <cfRule type="cellIs" dxfId="621" priority="1" operator="equal">
      <formula>3</formula>
    </cfRule>
    <cfRule type="cellIs" dxfId="620" priority="2" operator="equal">
      <formula>2</formula>
    </cfRule>
    <cfRule type="cellIs" dxfId="619" priority="3" operator="equal">
      <formula>1</formula>
    </cfRule>
  </conditionalFormatting>
  <pageMargins left="0.7" right="0.7" top="0.75" bottom="0.75" header="0.3" footer="0.3"/>
  <pageSetup paperSize="9" scale="71" orientation="landscape" horizontalDpi="4294967292" verticalDpi="4294967292"/>
  <colBreaks count="1" manualBreakCount="1">
    <brk id="34" max="1048575" man="1"/>
  </colBreaks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27"/>
  <sheetViews>
    <sheetView topLeftCell="B1" zoomScale="90" zoomScaleNormal="90" zoomScalePageLayoutView="90" workbookViewId="0">
      <selection activeCell="A4" sqref="A4"/>
    </sheetView>
  </sheetViews>
  <sheetFormatPr defaultColWidth="8.875" defaultRowHeight="15.75"/>
  <cols>
    <col min="1" max="1" width="4.87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19.125" customWidth="1"/>
    <col min="9" max="10" width="7.5" bestFit="1" customWidth="1"/>
    <col min="11" max="11" width="7.375" bestFit="1" customWidth="1"/>
    <col min="12" max="12" width="0.5" customWidth="1"/>
    <col min="13" max="13" width="7.5" customWidth="1"/>
    <col min="14" max="14" width="5.625" customWidth="1"/>
    <col min="15" max="15" width="22.125" customWidth="1"/>
    <col min="16" max="16" width="7.625" customWidth="1"/>
    <col min="17" max="17" width="4.625" customWidth="1"/>
    <col min="18" max="18" width="7.625" customWidth="1"/>
    <col min="19" max="19" width="4.625" customWidth="1"/>
    <col min="20" max="20" width="8.375" customWidth="1"/>
    <col min="21" max="21" width="4.625" customWidth="1"/>
    <col min="22" max="22" width="7.625" customWidth="1"/>
    <col min="23" max="23" width="23" bestFit="1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138"/>
      <c r="AE1" s="138"/>
      <c r="AF1" s="138"/>
      <c r="AG1" s="138"/>
      <c r="AH1" s="138"/>
      <c r="AI1" s="138"/>
      <c r="AJ1" s="138"/>
      <c r="AK1" s="138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s="32" customFormat="1" ht="21" customHeight="1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139"/>
      <c r="AE2" s="139"/>
      <c r="AF2" s="139"/>
      <c r="AG2" s="139"/>
      <c r="AH2" s="139"/>
      <c r="AI2" s="139"/>
      <c r="AJ2" s="139"/>
      <c r="AK2" s="3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"/>
      <c r="BR2" s="2"/>
    </row>
    <row r="3" spans="1:70" ht="28.5" customHeight="1">
      <c r="A3" s="8"/>
      <c r="E3" s="4"/>
      <c r="F3" s="4"/>
      <c r="G3" s="4"/>
      <c r="H3" s="4"/>
      <c r="I3" s="4"/>
      <c r="J3" s="1"/>
      <c r="K3" s="1"/>
      <c r="L3" s="1"/>
      <c r="M3" s="1"/>
      <c r="N3" s="26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E4" s="1"/>
      <c r="F4" s="1"/>
      <c r="G4" s="461" t="s">
        <v>436</v>
      </c>
      <c r="H4" s="462"/>
      <c r="I4" s="463"/>
      <c r="M4" s="1"/>
      <c r="N4" s="26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6" spans="1:70" s="8" customFormat="1">
      <c r="A6" s="245"/>
      <c r="B6" s="233"/>
      <c r="C6" s="233"/>
      <c r="D6" s="233"/>
      <c r="E6" s="233"/>
      <c r="G6" s="175"/>
      <c r="H6" s="39"/>
      <c r="I6" s="43"/>
      <c r="J6" s="44"/>
      <c r="K6" s="175"/>
      <c r="L6" s="106"/>
      <c r="M6" s="34" t="s">
        <v>12</v>
      </c>
      <c r="N6" s="34" t="s">
        <v>503</v>
      </c>
      <c r="O6" s="35" t="s">
        <v>2</v>
      </c>
      <c r="P6" s="36" t="s">
        <v>6</v>
      </c>
      <c r="Q6" s="36" t="s">
        <v>14</v>
      </c>
      <c r="R6" s="36" t="s">
        <v>7</v>
      </c>
      <c r="S6" s="49" t="s">
        <v>15</v>
      </c>
      <c r="T6" s="37" t="s">
        <v>5</v>
      </c>
      <c r="U6" s="38" t="s">
        <v>16</v>
      </c>
    </row>
    <row r="7" spans="1:70">
      <c r="A7" s="111"/>
      <c r="B7" s="111"/>
      <c r="C7" s="111"/>
      <c r="D7" s="111"/>
      <c r="E7" s="111"/>
      <c r="G7" s="111"/>
      <c r="H7" s="45"/>
      <c r="I7" s="47"/>
      <c r="J7" s="40"/>
      <c r="K7" s="111"/>
      <c r="L7" s="1"/>
      <c r="M7" s="320" t="s">
        <v>391</v>
      </c>
      <c r="N7" s="302">
        <v>935</v>
      </c>
      <c r="O7" s="303" t="s">
        <v>430</v>
      </c>
      <c r="P7" s="322">
        <f>'INT 16&amp;A MX'!D8</f>
        <v>10.3</v>
      </c>
      <c r="Q7" s="283">
        <f>SUMPRODUCT((P$7:P$8&gt;P7)/COUNTIF(P$7:P$8,P$7:P$8&amp;""))+1</f>
        <v>1</v>
      </c>
      <c r="R7" s="321">
        <f>'INT 16&amp;A MX'!E8</f>
        <v>8.9</v>
      </c>
      <c r="S7" s="283">
        <f>SUMPRODUCT((R$7:R$8&gt;R7)/COUNTIF(R$7:R$8,R$7:R$8&amp;""))+1</f>
        <v>2</v>
      </c>
      <c r="T7" s="297">
        <f>Table351213142445672348[[#This Row],[Floor]]+Table351213142445672348[[#This Row],[Vault]]</f>
        <v>19.200000000000003</v>
      </c>
      <c r="U7" s="283">
        <f>SUMPRODUCT((T$7:T$8&gt;T7)/COUNTIF(T$7:T$8,T$7:T$8&amp;""))+1</f>
        <v>2</v>
      </c>
    </row>
    <row r="8" spans="1:70">
      <c r="A8" s="152"/>
      <c r="B8" s="110"/>
      <c r="C8" s="73"/>
      <c r="D8" s="73"/>
      <c r="E8" s="73"/>
      <c r="G8" s="152"/>
      <c r="H8" s="110"/>
      <c r="I8" s="73"/>
      <c r="J8" s="73"/>
      <c r="K8" s="73"/>
      <c r="L8" s="1"/>
      <c r="M8" s="320" t="s">
        <v>391</v>
      </c>
      <c r="N8" s="302">
        <v>936</v>
      </c>
      <c r="O8" s="303" t="s">
        <v>437</v>
      </c>
      <c r="P8" s="322">
        <f>'INT 16&amp;A MX'!D9</f>
        <v>10.15</v>
      </c>
      <c r="Q8" s="283">
        <f>SUMPRODUCT((P$7:P$22&gt;P8)/COUNTIF(P$7:P$22,P$7:P$22&amp;""))+1</f>
        <v>2</v>
      </c>
      <c r="R8" s="321">
        <f>'INT 16&amp;A MX'!E9</f>
        <v>9.3000000000000007</v>
      </c>
      <c r="S8" s="283">
        <f>SUMPRODUCT((R$7:R$8&gt;R8)/COUNTIF(R$7:R$8,R$7:R$8&amp;""))+1</f>
        <v>1</v>
      </c>
      <c r="T8" s="297">
        <f>Table351213142445672348[[#This Row],[Floor]]+Table351213142445672348[[#This Row],[Vault]]</f>
        <v>19.450000000000003</v>
      </c>
      <c r="U8" s="283">
        <f>SUMPRODUCT((T$7:T$8&gt;T8)/COUNTIF(T$7:T$8,T$7:T$8&amp;""))+1</f>
        <v>1</v>
      </c>
    </row>
    <row r="9" spans="1:70">
      <c r="A9" s="152"/>
      <c r="B9" s="110"/>
      <c r="C9" s="73"/>
      <c r="D9" s="73"/>
      <c r="E9" s="73"/>
      <c r="G9" s="152"/>
      <c r="H9" s="110"/>
      <c r="I9" s="73"/>
      <c r="J9" s="73"/>
      <c r="K9" s="73"/>
      <c r="L9" s="1"/>
      <c r="M9" s="1"/>
      <c r="N9" s="264"/>
      <c r="R9" s="115"/>
    </row>
    <row r="10" spans="1:70">
      <c r="A10" s="152"/>
      <c r="B10" s="110"/>
      <c r="C10" s="73"/>
      <c r="D10" s="73"/>
      <c r="E10" s="73"/>
      <c r="G10" s="152"/>
      <c r="H10" s="110"/>
      <c r="I10" s="73"/>
      <c r="J10" s="73"/>
      <c r="K10" s="73"/>
      <c r="L10" s="1"/>
      <c r="R10" s="41"/>
      <c r="S10" s="41"/>
      <c r="T10" s="41"/>
      <c r="U10" s="41"/>
    </row>
    <row r="11" spans="1:70">
      <c r="A11" s="152"/>
      <c r="B11" s="110"/>
      <c r="C11" s="73"/>
      <c r="D11" s="73"/>
      <c r="E11" s="73"/>
      <c r="G11" s="152"/>
      <c r="H11" s="110"/>
      <c r="I11" s="73"/>
      <c r="J11" s="73"/>
      <c r="K11" s="73"/>
      <c r="L11" s="1"/>
    </row>
    <row r="12" spans="1:70">
      <c r="A12" s="246"/>
      <c r="B12" s="110"/>
      <c r="C12" s="247"/>
      <c r="D12" s="247"/>
      <c r="E12" s="247"/>
      <c r="G12" s="152"/>
      <c r="H12" s="110"/>
      <c r="I12" s="73"/>
      <c r="J12" s="73"/>
      <c r="K12" s="73"/>
      <c r="L12" s="1"/>
    </row>
    <row r="13" spans="1:70">
      <c r="A13" s="152"/>
      <c r="B13" s="110"/>
      <c r="C13" s="73"/>
      <c r="D13" s="73"/>
      <c r="E13" s="73"/>
      <c r="F13" s="8"/>
      <c r="G13" s="152"/>
      <c r="H13" s="110"/>
      <c r="I13" s="73"/>
      <c r="J13" s="73"/>
      <c r="K13" s="68"/>
      <c r="L13" s="106"/>
    </row>
    <row r="14" spans="1:70">
      <c r="A14" s="1"/>
      <c r="B14" s="104"/>
      <c r="C14" s="64"/>
      <c r="D14" s="64"/>
      <c r="E14" s="105"/>
      <c r="F14" s="8"/>
      <c r="G14" s="1"/>
      <c r="H14" s="104"/>
      <c r="I14" s="64"/>
      <c r="J14" s="64"/>
      <c r="K14" s="105"/>
      <c r="L14" s="106"/>
    </row>
    <row r="15" spans="1:70">
      <c r="A15" s="1"/>
      <c r="B15" s="121"/>
      <c r="C15" s="1"/>
      <c r="D15" s="104"/>
      <c r="E15" s="115"/>
      <c r="G15" s="1"/>
      <c r="H15" s="121"/>
      <c r="I15" s="1"/>
      <c r="J15" s="104"/>
      <c r="K15" s="115"/>
      <c r="L15" s="1"/>
    </row>
    <row r="16" spans="1:70">
      <c r="A16" s="1"/>
      <c r="B16" s="1"/>
      <c r="C16" s="1"/>
      <c r="D16" s="1"/>
      <c r="E16" s="1"/>
      <c r="H16" s="77"/>
      <c r="I16" s="77"/>
      <c r="J16" s="77"/>
    </row>
    <row r="17" spans="1:11">
      <c r="A17" s="164"/>
      <c r="B17" s="175"/>
      <c r="C17" s="175"/>
      <c r="D17" s="175"/>
      <c r="E17" s="175"/>
      <c r="F17" s="106"/>
      <c r="G17" s="175"/>
      <c r="H17" s="107"/>
      <c r="I17" s="68"/>
      <c r="J17" s="68"/>
      <c r="K17" s="175"/>
    </row>
    <row r="18" spans="1:11">
      <c r="A18" s="111"/>
      <c r="B18" s="111"/>
      <c r="C18" s="111"/>
      <c r="D18" s="111"/>
      <c r="E18" s="111"/>
      <c r="F18" s="106"/>
      <c r="G18" s="77"/>
      <c r="H18" s="106"/>
      <c r="I18" s="106"/>
      <c r="J18" s="106"/>
      <c r="K18" s="77"/>
    </row>
    <row r="19" spans="1:11">
      <c r="A19" s="152"/>
      <c r="B19" s="110"/>
      <c r="C19" s="73"/>
      <c r="D19" s="73"/>
      <c r="E19" s="73"/>
      <c r="F19" s="106"/>
      <c r="G19" s="80"/>
      <c r="H19" s="106"/>
      <c r="I19" s="106"/>
      <c r="J19" s="106"/>
      <c r="K19" s="68"/>
    </row>
    <row r="20" spans="1:11">
      <c r="A20" s="152"/>
      <c r="B20" s="110"/>
      <c r="C20" s="73"/>
      <c r="D20" s="73"/>
      <c r="E20" s="73"/>
      <c r="F20" s="106"/>
      <c r="G20" s="106"/>
      <c r="H20" s="106"/>
      <c r="I20" s="106"/>
      <c r="J20" s="106"/>
      <c r="K20" s="106"/>
    </row>
    <row r="21" spans="1:11">
      <c r="A21" s="175"/>
      <c r="B21" s="175"/>
      <c r="C21" s="175"/>
      <c r="D21" s="175"/>
      <c r="E21" s="175"/>
      <c r="F21" s="106"/>
      <c r="G21" s="106"/>
      <c r="H21" s="106"/>
      <c r="I21" s="106"/>
      <c r="J21" s="106"/>
      <c r="K21" s="106"/>
    </row>
    <row r="22" spans="1:11">
      <c r="A22" s="77"/>
      <c r="B22" s="77"/>
      <c r="C22" s="77"/>
      <c r="D22" s="77"/>
      <c r="E22" s="77"/>
      <c r="F22" s="106"/>
      <c r="G22" s="106"/>
      <c r="K22" s="106"/>
    </row>
    <row r="23" spans="1:11">
      <c r="A23" s="141"/>
      <c r="B23" s="107"/>
      <c r="C23" s="68"/>
      <c r="D23" s="68"/>
      <c r="E23" s="68"/>
      <c r="F23" s="106"/>
      <c r="G23" s="106"/>
      <c r="K23" s="106"/>
    </row>
    <row r="27" spans="1:11">
      <c r="B27" s="8"/>
    </row>
  </sheetData>
  <mergeCells count="3">
    <mergeCell ref="A1:AC1"/>
    <mergeCell ref="A2:AC2"/>
    <mergeCell ref="G4:I4"/>
  </mergeCells>
  <phoneticPr fontId="21" type="noConversion"/>
  <conditionalFormatting sqref="J7">
    <cfRule type="cellIs" dxfId="615" priority="34" operator="equal">
      <formula>3</formula>
    </cfRule>
    <cfRule type="cellIs" dxfId="614" priority="35" operator="equal">
      <formula>2</formula>
    </cfRule>
    <cfRule type="cellIs" dxfId="613" priority="36" operator="equal">
      <formula>1</formula>
    </cfRule>
  </conditionalFormatting>
  <conditionalFormatting sqref="Q7:Q8">
    <cfRule type="cellIs" dxfId="612" priority="7" operator="equal">
      <formula>3</formula>
    </cfRule>
    <cfRule type="cellIs" dxfId="611" priority="8" operator="equal">
      <formula>2</formula>
    </cfRule>
    <cfRule type="cellIs" dxfId="610" priority="9" operator="equal">
      <formula>1</formula>
    </cfRule>
  </conditionalFormatting>
  <conditionalFormatting sqref="S7:S8">
    <cfRule type="cellIs" dxfId="609" priority="4" operator="equal">
      <formula>3</formula>
    </cfRule>
    <cfRule type="cellIs" dxfId="608" priority="5" operator="equal">
      <formula>2</formula>
    </cfRule>
    <cfRule type="cellIs" dxfId="607" priority="6" operator="equal">
      <formula>1</formula>
    </cfRule>
  </conditionalFormatting>
  <conditionalFormatting sqref="U7:U8">
    <cfRule type="cellIs" dxfId="606" priority="1" operator="equal">
      <formula>3</formula>
    </cfRule>
    <cfRule type="cellIs" dxfId="605" priority="2" operator="equal">
      <formula>2</formula>
    </cfRule>
    <cfRule type="cellIs" dxfId="604" priority="3" operator="equal">
      <formula>1</formula>
    </cfRule>
  </conditionalFormatting>
  <pageMargins left="0.7" right="0.7" top="0.75" bottom="0.75" header="0.3" footer="0.3"/>
  <pageSetup paperSize="9" scale="54" orientation="landscape" horizontalDpi="4294967292" verticalDpi="4294967292"/>
  <colBreaks count="1" manualBreakCount="1">
    <brk id="27" max="1048575" man="1"/>
  </colBreaks>
  <ignoredErrors>
    <ignoredError sqref="Q7" calculatedColumn="1"/>
  </ignoredErrors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R60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4.875" customWidth="1"/>
    <col min="2" max="2" width="19.125" bestFit="1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125" customWidth="1"/>
    <col min="22" max="22" width="6.375" customWidth="1"/>
    <col min="23" max="23" width="20.875" bestFit="1" customWidth="1"/>
    <col min="24" max="24" width="9.625" customWidth="1"/>
    <col min="25" max="25" width="5" style="53" customWidth="1"/>
    <col min="26" max="26" width="9.375" customWidth="1"/>
    <col min="27" max="27" width="4.5" style="57" customWidth="1"/>
    <col min="28" max="28" width="9.375" style="39" customWidth="1"/>
    <col min="29" max="29" width="5.5" style="60" customWidth="1"/>
  </cols>
  <sheetData>
    <row r="1" spans="1:70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133"/>
      <c r="AE1" s="133"/>
      <c r="AF1" s="133"/>
      <c r="AG1" s="133"/>
      <c r="AH1" s="133"/>
      <c r="AI1" s="133"/>
      <c r="AJ1" s="133"/>
      <c r="AK1" s="13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s="32" customFormat="1" ht="21" customHeight="1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134"/>
      <c r="AE2" s="134"/>
      <c r="AF2" s="134"/>
      <c r="AG2" s="134"/>
      <c r="AH2" s="134"/>
      <c r="AI2" s="134"/>
      <c r="AJ2" s="134"/>
      <c r="AK2" s="3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"/>
      <c r="BR2" s="2"/>
    </row>
    <row r="3" spans="1:70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70" ht="21">
      <c r="A4" s="8"/>
      <c r="E4" s="1"/>
      <c r="F4" s="1"/>
      <c r="G4" s="464" t="s">
        <v>123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6" spans="1:70" s="8" customFormat="1">
      <c r="A6" s="285" t="s">
        <v>369</v>
      </c>
      <c r="B6" s="71"/>
      <c r="C6" s="71"/>
      <c r="D6" s="71"/>
      <c r="E6" s="72"/>
      <c r="G6" s="171" t="s">
        <v>954</v>
      </c>
      <c r="H6" s="173"/>
      <c r="I6" s="173"/>
      <c r="J6" s="173"/>
      <c r="K6" s="174"/>
      <c r="M6" s="171" t="s">
        <v>953</v>
      </c>
      <c r="N6" s="173"/>
      <c r="O6" s="173"/>
      <c r="P6" s="173"/>
      <c r="Q6" s="174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70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16" t="s">
        <v>99</v>
      </c>
      <c r="V7" s="149">
        <v>915</v>
      </c>
      <c r="W7" s="93" t="s">
        <v>102</v>
      </c>
      <c r="X7" s="14">
        <f>C8</f>
        <v>0</v>
      </c>
      <c r="Y7" s="283">
        <f>SUMPRODUCT((X$7:X$22&gt;X7)/COUNTIF(X$7:X$22,X$7:X$22&amp;""))+1</f>
        <v>14</v>
      </c>
      <c r="Z7" s="14">
        <f>D8</f>
        <v>8.6</v>
      </c>
      <c r="AA7" s="283">
        <f>SUMPRODUCT((Z$7:Z$22&gt;Z7)/COUNTIF(Z$7:Z$22,Z$7:Z$22&amp;""))+1</f>
        <v>5</v>
      </c>
      <c r="AB7" s="212">
        <f>Table3515505713[[#This Row],[Floor4]]+Table3515505713[[#This Row],[Vault6]]</f>
        <v>8.6</v>
      </c>
      <c r="AC7" s="283">
        <f>SUMPRODUCT((AB$7:AB$22&gt;AB7)/COUNTIF(AB$7:AB$22,AB$7:AB$22&amp;""))+1</f>
        <v>14</v>
      </c>
    </row>
    <row r="8" spans="1:70">
      <c r="A8" s="149">
        <v>915</v>
      </c>
      <c r="B8" s="93" t="s">
        <v>102</v>
      </c>
      <c r="C8" s="13">
        <v>0</v>
      </c>
      <c r="D8" s="13">
        <v>8.6</v>
      </c>
      <c r="E8" s="13">
        <f>SUM(C8,D8)</f>
        <v>8.6</v>
      </c>
      <c r="G8" s="149">
        <v>921</v>
      </c>
      <c r="H8" s="93" t="s">
        <v>974</v>
      </c>
      <c r="I8" s="13">
        <v>9.6</v>
      </c>
      <c r="J8" s="13">
        <v>8.8000000000000007</v>
      </c>
      <c r="K8" s="13">
        <f>SUM(I8,J8)</f>
        <v>18.399999999999999</v>
      </c>
      <c r="M8" s="190">
        <v>927</v>
      </c>
      <c r="N8" s="93" t="s">
        <v>976</v>
      </c>
      <c r="O8" s="191">
        <v>9.8000000000000007</v>
      </c>
      <c r="P8" s="191">
        <v>8.75</v>
      </c>
      <c r="Q8" s="191">
        <f>SUM(O8,P8)</f>
        <v>18.55</v>
      </c>
      <c r="U8" s="16" t="s">
        <v>99</v>
      </c>
      <c r="V8" s="149">
        <v>916</v>
      </c>
      <c r="W8" s="93" t="s">
        <v>100</v>
      </c>
      <c r="X8" s="14">
        <f t="shared" ref="X8:X11" si="0">C9</f>
        <v>9.9</v>
      </c>
      <c r="Y8" s="283">
        <f t="shared" ref="Y8:Y22" si="1">SUMPRODUCT((X$7:X$22&gt;X8)/COUNTIF(X$7:X$22,X$7:X$22&amp;""))+1</f>
        <v>4</v>
      </c>
      <c r="Z8" s="14">
        <f t="shared" ref="Z8:Z11" si="2">D9</f>
        <v>7.5</v>
      </c>
      <c r="AA8" s="283">
        <f t="shared" ref="AA8:AA22" si="3">SUMPRODUCT((Z$7:Z$22&gt;Z8)/COUNTIF(Z$7:Z$22,Z$7:Z$22&amp;""))+1</f>
        <v>11.000000000000002</v>
      </c>
      <c r="AB8" s="212">
        <f>Table3515505713[[#This Row],[Floor4]]+Table3515505713[[#This Row],[Vault6]]</f>
        <v>17.399999999999999</v>
      </c>
      <c r="AC8" s="283">
        <f t="shared" ref="AC8:AC22" si="4">SUMPRODUCT((AB$7:AB$22&gt;AB8)/COUNTIF(AB$7:AB$22,AB$7:AB$22&amp;""))+1</f>
        <v>11</v>
      </c>
    </row>
    <row r="9" spans="1:70">
      <c r="A9" s="149">
        <v>916</v>
      </c>
      <c r="B9" s="93" t="s">
        <v>100</v>
      </c>
      <c r="C9" s="13">
        <v>9.9</v>
      </c>
      <c r="D9" s="13">
        <v>7.5</v>
      </c>
      <c r="E9" s="13">
        <f t="shared" ref="E9:E13" si="5">SUM(C9,D9)</f>
        <v>17.399999999999999</v>
      </c>
      <c r="G9" s="149">
        <v>922</v>
      </c>
      <c r="H9" s="93" t="s">
        <v>752</v>
      </c>
      <c r="I9" s="13">
        <v>9.3000000000000007</v>
      </c>
      <c r="J9" s="13">
        <v>8.6999999999999993</v>
      </c>
      <c r="K9" s="13">
        <f t="shared" ref="K9:K13" si="6">SUM(I9,J9)</f>
        <v>18</v>
      </c>
      <c r="M9" s="149">
        <v>928</v>
      </c>
      <c r="N9" s="93" t="s">
        <v>977</v>
      </c>
      <c r="O9" s="13">
        <v>9.5</v>
      </c>
      <c r="P9" s="13">
        <v>8.4499999999999993</v>
      </c>
      <c r="Q9" s="13">
        <f t="shared" ref="Q9:Q13" si="7">SUM(O9,P9)</f>
        <v>17.95</v>
      </c>
      <c r="U9" s="16" t="s">
        <v>99</v>
      </c>
      <c r="V9" s="149">
        <v>917</v>
      </c>
      <c r="W9" s="93" t="s">
        <v>881</v>
      </c>
      <c r="X9" s="14">
        <f t="shared" si="0"/>
        <v>9.5</v>
      </c>
      <c r="Y9" s="283">
        <f t="shared" si="1"/>
        <v>8</v>
      </c>
      <c r="Z9" s="14">
        <f t="shared" si="2"/>
        <v>8.3000000000000007</v>
      </c>
      <c r="AA9" s="283">
        <f t="shared" si="3"/>
        <v>7.9999999999999991</v>
      </c>
      <c r="AB9" s="212">
        <f>Table3515505713[[#This Row],[Floor4]]+Table3515505713[[#This Row],[Vault6]]</f>
        <v>17.8</v>
      </c>
      <c r="AC9" s="283">
        <f t="shared" si="4"/>
        <v>8</v>
      </c>
    </row>
    <row r="10" spans="1:70">
      <c r="A10" s="149">
        <v>917</v>
      </c>
      <c r="B10" s="93" t="s">
        <v>881</v>
      </c>
      <c r="C10" s="13">
        <v>9.5</v>
      </c>
      <c r="D10" s="13">
        <v>8.3000000000000007</v>
      </c>
      <c r="E10" s="13">
        <f t="shared" si="5"/>
        <v>17.8</v>
      </c>
      <c r="G10" s="149">
        <v>923</v>
      </c>
      <c r="H10" s="93" t="s">
        <v>375</v>
      </c>
      <c r="I10" s="13">
        <v>8.85</v>
      </c>
      <c r="J10" s="13">
        <v>8.6</v>
      </c>
      <c r="K10" s="13">
        <f t="shared" si="6"/>
        <v>17.45</v>
      </c>
      <c r="M10" s="190">
        <v>929</v>
      </c>
      <c r="N10" s="93" t="s">
        <v>978</v>
      </c>
      <c r="O10" s="13">
        <v>9.4</v>
      </c>
      <c r="P10" s="13">
        <v>7.9</v>
      </c>
      <c r="Q10" s="13">
        <f t="shared" si="7"/>
        <v>17.3</v>
      </c>
      <c r="U10" s="16" t="s">
        <v>99</v>
      </c>
      <c r="V10" s="149">
        <v>918</v>
      </c>
      <c r="W10" s="93" t="s">
        <v>101</v>
      </c>
      <c r="X10" s="14">
        <f t="shared" si="0"/>
        <v>9.3000000000000007</v>
      </c>
      <c r="Y10" s="283">
        <f t="shared" si="1"/>
        <v>10</v>
      </c>
      <c r="Z10" s="14">
        <f t="shared" si="2"/>
        <v>8.35</v>
      </c>
      <c r="AA10" s="283">
        <f t="shared" si="3"/>
        <v>6.9999999999999991</v>
      </c>
      <c r="AB10" s="212">
        <f>Table3515505713[[#This Row],[Floor4]]+Table3515505713[[#This Row],[Vault6]]</f>
        <v>17.649999999999999</v>
      </c>
      <c r="AC10" s="283">
        <f t="shared" si="4"/>
        <v>9</v>
      </c>
    </row>
    <row r="11" spans="1:70">
      <c r="A11" s="149">
        <v>918</v>
      </c>
      <c r="B11" s="93" t="s">
        <v>101</v>
      </c>
      <c r="C11" s="13">
        <v>9.3000000000000007</v>
      </c>
      <c r="D11" s="13">
        <v>8.35</v>
      </c>
      <c r="E11" s="13">
        <f t="shared" si="5"/>
        <v>17.649999999999999</v>
      </c>
      <c r="G11" s="149">
        <v>924</v>
      </c>
      <c r="H11" s="93" t="s">
        <v>975</v>
      </c>
      <c r="I11" s="13">
        <v>9.0500000000000007</v>
      </c>
      <c r="J11" s="13">
        <v>8.1999999999999993</v>
      </c>
      <c r="K11" s="13">
        <f t="shared" si="6"/>
        <v>17.25</v>
      </c>
      <c r="M11" s="149">
        <v>930</v>
      </c>
      <c r="N11" s="93" t="s">
        <v>979</v>
      </c>
      <c r="O11" s="13">
        <v>9.1999999999999993</v>
      </c>
      <c r="P11" s="13">
        <v>8.6</v>
      </c>
      <c r="Q11" s="13">
        <f t="shared" si="7"/>
        <v>17.799999999999997</v>
      </c>
      <c r="U11" s="16" t="s">
        <v>99</v>
      </c>
      <c r="V11" s="149">
        <v>919</v>
      </c>
      <c r="W11" s="100" t="s">
        <v>882</v>
      </c>
      <c r="X11" s="14">
        <f t="shared" si="0"/>
        <v>9.9499999999999993</v>
      </c>
      <c r="Y11" s="283">
        <f t="shared" si="1"/>
        <v>3</v>
      </c>
      <c r="Z11" s="14">
        <f t="shared" si="2"/>
        <v>8.6999999999999993</v>
      </c>
      <c r="AA11" s="283">
        <f t="shared" si="3"/>
        <v>4</v>
      </c>
      <c r="AB11" s="212">
        <f>Table3515505713[[#This Row],[Floor4]]+Table3515505713[[#This Row],[Vault6]]</f>
        <v>18.649999999999999</v>
      </c>
      <c r="AC11" s="283">
        <f t="shared" si="4"/>
        <v>3</v>
      </c>
    </row>
    <row r="12" spans="1:70">
      <c r="A12" s="149">
        <v>919</v>
      </c>
      <c r="B12" s="100" t="s">
        <v>882</v>
      </c>
      <c r="C12" s="13">
        <v>9.9499999999999993</v>
      </c>
      <c r="D12" s="13">
        <v>8.6999999999999993</v>
      </c>
      <c r="E12" s="13">
        <f t="shared" si="5"/>
        <v>18.649999999999999</v>
      </c>
      <c r="G12" s="149">
        <v>925</v>
      </c>
      <c r="H12" s="97"/>
      <c r="I12" s="13">
        <v>0</v>
      </c>
      <c r="J12" s="13">
        <v>0</v>
      </c>
      <c r="K12" s="13">
        <f t="shared" si="6"/>
        <v>0</v>
      </c>
      <c r="M12" s="190">
        <v>931</v>
      </c>
      <c r="N12" s="97"/>
      <c r="O12" s="13">
        <v>0</v>
      </c>
      <c r="P12" s="13">
        <v>0</v>
      </c>
      <c r="Q12" s="13">
        <f t="shared" si="7"/>
        <v>0</v>
      </c>
      <c r="U12" s="16" t="s">
        <v>223</v>
      </c>
      <c r="V12" s="149">
        <v>921</v>
      </c>
      <c r="W12" s="93" t="s">
        <v>974</v>
      </c>
      <c r="X12" s="14">
        <f>I8</f>
        <v>9.6</v>
      </c>
      <c r="Y12" s="283">
        <f t="shared" si="1"/>
        <v>7</v>
      </c>
      <c r="Z12" s="14">
        <f>J8</f>
        <v>8.8000000000000007</v>
      </c>
      <c r="AA12" s="283">
        <f t="shared" si="3"/>
        <v>2</v>
      </c>
      <c r="AB12" s="212">
        <f>Table3515505713[[#This Row],[Floor4]]+Table3515505713[[#This Row],[Vault6]]</f>
        <v>18.399999999999999</v>
      </c>
      <c r="AC12" s="283">
        <f t="shared" si="4"/>
        <v>5</v>
      </c>
    </row>
    <row r="13" spans="1:70" ht="16.5" thickBot="1">
      <c r="A13" s="149">
        <v>920</v>
      </c>
      <c r="B13" s="97"/>
      <c r="C13" s="13">
        <v>0</v>
      </c>
      <c r="D13" s="13">
        <v>0</v>
      </c>
      <c r="E13" s="13">
        <f t="shared" si="5"/>
        <v>0</v>
      </c>
      <c r="F13" s="8"/>
      <c r="G13" s="149">
        <v>926</v>
      </c>
      <c r="H13" s="97"/>
      <c r="I13" s="13">
        <v>0</v>
      </c>
      <c r="J13" s="13">
        <v>0</v>
      </c>
      <c r="K13" s="13">
        <f t="shared" si="6"/>
        <v>0</v>
      </c>
      <c r="L13" s="106"/>
      <c r="M13" s="149">
        <v>932</v>
      </c>
      <c r="N13" s="97"/>
      <c r="O13" s="13">
        <v>0</v>
      </c>
      <c r="P13" s="13">
        <v>0</v>
      </c>
      <c r="Q13" s="13">
        <f t="shared" si="7"/>
        <v>0</v>
      </c>
      <c r="U13" s="16" t="s">
        <v>223</v>
      </c>
      <c r="V13" s="149">
        <v>922</v>
      </c>
      <c r="W13" s="93" t="s">
        <v>752</v>
      </c>
      <c r="X13" s="14">
        <f t="shared" ref="X13:X15" si="8">I9</f>
        <v>9.3000000000000007</v>
      </c>
      <c r="Y13" s="283">
        <f t="shared" si="1"/>
        <v>10</v>
      </c>
      <c r="Z13" s="14">
        <f t="shared" ref="Z13:Z15" si="9">J9</f>
        <v>8.6999999999999993</v>
      </c>
      <c r="AA13" s="283">
        <f t="shared" si="3"/>
        <v>4</v>
      </c>
      <c r="AB13" s="212">
        <f>Table3515505713[[#This Row],[Floor4]]+Table3515505713[[#This Row],[Vault6]]</f>
        <v>18</v>
      </c>
      <c r="AC13" s="283">
        <f t="shared" si="4"/>
        <v>6</v>
      </c>
    </row>
    <row r="14" spans="1:70" ht="16.5" thickBot="1">
      <c r="B14" s="25" t="s">
        <v>10</v>
      </c>
      <c r="C14" s="19">
        <f>SUM(C8:C13)-SMALL(C8:C13,1)-SMALL(C8:C13,2)</f>
        <v>38.65</v>
      </c>
      <c r="D14" s="19">
        <f>SUM(D8:D13)-SMALL(D8:D13,1)-SMALL(D8:D13,2)</f>
        <v>33.950000000000003</v>
      </c>
      <c r="E14" s="20">
        <f>SUM(C14:D14)</f>
        <v>72.599999999999994</v>
      </c>
      <c r="F14" s="8"/>
      <c r="H14" s="25" t="s">
        <v>10</v>
      </c>
      <c r="I14" s="19">
        <f>SUM(I8:I13)-SMALL(I8:I13,1)-SMALL(I8:I13,2)</f>
        <v>36.799999999999997</v>
      </c>
      <c r="J14" s="19">
        <f>SUM(J8:J13)-SMALL(J8:J13,1)-SMALL(J8:J13,2)</f>
        <v>34.299999999999997</v>
      </c>
      <c r="K14" s="20">
        <f>SUM(I14:J14)</f>
        <v>71.099999999999994</v>
      </c>
      <c r="L14" s="106"/>
      <c r="N14" s="25" t="s">
        <v>10</v>
      </c>
      <c r="O14" s="19">
        <f>SUM(O8:O13)-SMALL(O8:O13,1)-SMALL(O8:O13,2)</f>
        <v>37.900000000000006</v>
      </c>
      <c r="P14" s="19">
        <f>SUM(P8:P13)-SMALL(P8:P13,1)-SMALL(P8:P13,2)</f>
        <v>33.700000000000003</v>
      </c>
      <c r="Q14" s="20">
        <f>SUM(O14:P14)</f>
        <v>71.600000000000009</v>
      </c>
      <c r="U14" s="16" t="s">
        <v>223</v>
      </c>
      <c r="V14" s="149">
        <v>923</v>
      </c>
      <c r="W14" s="93" t="s">
        <v>375</v>
      </c>
      <c r="X14" s="14">
        <f t="shared" si="8"/>
        <v>8.85</v>
      </c>
      <c r="Y14" s="283">
        <f t="shared" si="1"/>
        <v>13</v>
      </c>
      <c r="Z14" s="14">
        <f t="shared" si="9"/>
        <v>8.6</v>
      </c>
      <c r="AA14" s="283">
        <f t="shared" si="3"/>
        <v>5</v>
      </c>
      <c r="AB14" s="212">
        <f>Table3515505713[[#This Row],[Floor4]]+Table3515505713[[#This Row],[Vault6]]</f>
        <v>17.45</v>
      </c>
      <c r="AC14" s="283">
        <f t="shared" si="4"/>
        <v>10</v>
      </c>
    </row>
    <row r="15" spans="1:70">
      <c r="B15" s="94" t="s">
        <v>37</v>
      </c>
      <c r="D15" s="25"/>
      <c r="E15" s="26"/>
      <c r="H15" s="94" t="s">
        <v>37</v>
      </c>
      <c r="J15" s="25"/>
      <c r="K15" s="26"/>
      <c r="L15" s="1"/>
      <c r="N15" s="94" t="s">
        <v>37</v>
      </c>
      <c r="P15" s="25"/>
      <c r="Q15" s="26"/>
      <c r="U15" s="16" t="s">
        <v>223</v>
      </c>
      <c r="V15" s="149">
        <v>924</v>
      </c>
      <c r="W15" s="93" t="s">
        <v>975</v>
      </c>
      <c r="X15" s="14">
        <f t="shared" si="8"/>
        <v>9.0500000000000007</v>
      </c>
      <c r="Y15" s="283">
        <f t="shared" si="1"/>
        <v>12</v>
      </c>
      <c r="Z15" s="14">
        <f t="shared" si="9"/>
        <v>8.1999999999999993</v>
      </c>
      <c r="AA15" s="283">
        <f t="shared" si="3"/>
        <v>9</v>
      </c>
      <c r="AB15" s="212">
        <f>Table3515505713[[#This Row],[Floor4]]+Table3515505713[[#This Row],[Vault6]]</f>
        <v>17.25</v>
      </c>
      <c r="AC15" s="283">
        <f t="shared" si="4"/>
        <v>13</v>
      </c>
    </row>
    <row r="16" spans="1:70">
      <c r="U16" s="16" t="s">
        <v>223</v>
      </c>
      <c r="V16" s="190">
        <v>927</v>
      </c>
      <c r="W16" s="93" t="s">
        <v>976</v>
      </c>
      <c r="X16" s="14">
        <f>O8</f>
        <v>9.8000000000000007</v>
      </c>
      <c r="Y16" s="283">
        <f t="shared" si="1"/>
        <v>6</v>
      </c>
      <c r="Z16" s="14">
        <f>P8</f>
        <v>8.75</v>
      </c>
      <c r="AA16" s="283">
        <f t="shared" si="3"/>
        <v>3</v>
      </c>
      <c r="AB16" s="212">
        <f>Table3515505713[[#This Row],[Floor4]]+Table3515505713[[#This Row],[Vault6]]</f>
        <v>18.55</v>
      </c>
      <c r="AC16" s="283">
        <f t="shared" si="4"/>
        <v>4</v>
      </c>
    </row>
    <row r="17" spans="1:29">
      <c r="A17" s="285" t="s">
        <v>1327</v>
      </c>
      <c r="B17" s="220"/>
      <c r="C17" s="220"/>
      <c r="D17" s="220"/>
      <c r="E17" s="221"/>
      <c r="F17" s="106"/>
      <c r="G17" s="233"/>
      <c r="H17" s="233"/>
      <c r="I17" s="233"/>
      <c r="J17" s="233"/>
      <c r="K17" s="233"/>
      <c r="L17" s="106"/>
      <c r="M17" s="233"/>
      <c r="N17" s="39" t="s">
        <v>12</v>
      </c>
      <c r="O17" s="43" t="s">
        <v>5</v>
      </c>
      <c r="P17" s="44" t="s">
        <v>11</v>
      </c>
      <c r="Q17" s="233"/>
      <c r="U17" s="16" t="s">
        <v>223</v>
      </c>
      <c r="V17" s="149">
        <v>928</v>
      </c>
      <c r="W17" s="93" t="s">
        <v>977</v>
      </c>
      <c r="X17" s="14">
        <f t="shared" ref="X17:X19" si="10">O9</f>
        <v>9.5</v>
      </c>
      <c r="Y17" s="283">
        <f t="shared" si="1"/>
        <v>8</v>
      </c>
      <c r="Z17" s="14">
        <f t="shared" ref="Z17:Z19" si="11">P9</f>
        <v>8.4499999999999993</v>
      </c>
      <c r="AA17" s="283">
        <f t="shared" si="3"/>
        <v>5.9999999999999991</v>
      </c>
      <c r="AB17" s="212">
        <f>Table3515505713[[#This Row],[Floor4]]+Table3515505713[[#This Row],[Vault6]]</f>
        <v>17.95</v>
      </c>
      <c r="AC17" s="283">
        <f t="shared" si="4"/>
        <v>7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1"/>
      <c r="G18" s="111"/>
      <c r="H18" s="111"/>
      <c r="I18" s="111"/>
      <c r="J18" s="111"/>
      <c r="K18" s="111"/>
      <c r="L18" s="1"/>
      <c r="M18" s="111"/>
      <c r="N18" s="148" t="s">
        <v>363</v>
      </c>
      <c r="O18" s="73">
        <f>E14</f>
        <v>72.599999999999994</v>
      </c>
      <c r="P18" s="40">
        <f>SUMPRODUCT((O$18:O$20&gt;O18)/COUNTIF(O$18:O$20,O$18:O$20&amp;""))+1</f>
        <v>1</v>
      </c>
      <c r="Q18" s="111"/>
      <c r="U18" s="16" t="s">
        <v>223</v>
      </c>
      <c r="V18" s="190">
        <v>929</v>
      </c>
      <c r="W18" s="93" t="s">
        <v>978</v>
      </c>
      <c r="X18" s="14">
        <f t="shared" si="10"/>
        <v>9.4</v>
      </c>
      <c r="Y18" s="283">
        <f t="shared" si="1"/>
        <v>9</v>
      </c>
      <c r="Z18" s="14">
        <f t="shared" si="11"/>
        <v>7.9</v>
      </c>
      <c r="AA18" s="283">
        <f t="shared" si="3"/>
        <v>10.000000000000002</v>
      </c>
      <c r="AB18" s="212">
        <f>Table3515505713[[#This Row],[Floor4]]+Table3515505713[[#This Row],[Vault6]]</f>
        <v>17.3</v>
      </c>
      <c r="AC18" s="283">
        <f t="shared" si="4"/>
        <v>12</v>
      </c>
    </row>
    <row r="19" spans="1:29">
      <c r="A19" s="149">
        <v>933</v>
      </c>
      <c r="B19" s="93" t="s">
        <v>166</v>
      </c>
      <c r="C19" s="13">
        <v>9.85</v>
      </c>
      <c r="D19" s="13">
        <v>9</v>
      </c>
      <c r="E19" s="13">
        <f>SUM(C19,D19)</f>
        <v>18.850000000000001</v>
      </c>
      <c r="F19" s="1"/>
      <c r="G19" s="152"/>
      <c r="H19" s="110"/>
      <c r="I19" s="73"/>
      <c r="J19" s="73"/>
      <c r="K19" s="73"/>
      <c r="L19" s="1"/>
      <c r="M19" s="165"/>
      <c r="N19" s="45" t="s">
        <v>1283</v>
      </c>
      <c r="O19" s="46">
        <f>K14</f>
        <v>71.099999999999994</v>
      </c>
      <c r="P19" s="40">
        <f t="shared" ref="P19:P20" si="12">SUMPRODUCT((O$18:O$20&gt;O19)/COUNTIF(O$18:O$20,O$18:O$20&amp;""))+1</f>
        <v>3</v>
      </c>
      <c r="Q19" s="73"/>
      <c r="U19" s="16" t="s">
        <v>223</v>
      </c>
      <c r="V19" s="149">
        <v>930</v>
      </c>
      <c r="W19" s="93" t="s">
        <v>979</v>
      </c>
      <c r="X19" s="14">
        <f t="shared" si="10"/>
        <v>9.1999999999999993</v>
      </c>
      <c r="Y19" s="283">
        <f t="shared" si="1"/>
        <v>11</v>
      </c>
      <c r="Z19" s="14">
        <f t="shared" si="11"/>
        <v>8.6</v>
      </c>
      <c r="AA19" s="283">
        <f t="shared" si="3"/>
        <v>5</v>
      </c>
      <c r="AB19" s="212">
        <f>Table3515505713[[#This Row],[Floor4]]+Table3515505713[[#This Row],[Vault6]]</f>
        <v>17.799999999999997</v>
      </c>
      <c r="AC19" s="283">
        <f t="shared" si="4"/>
        <v>8</v>
      </c>
    </row>
    <row r="20" spans="1:29">
      <c r="A20" s="152"/>
      <c r="B20" s="110"/>
      <c r="C20" s="73"/>
      <c r="D20" s="73"/>
      <c r="E20" s="73"/>
      <c r="F20" s="1"/>
      <c r="G20" s="102"/>
      <c r="H20" s="103"/>
      <c r="I20" s="73"/>
      <c r="J20" s="73"/>
      <c r="K20" s="73"/>
      <c r="L20" s="1"/>
      <c r="M20" s="102"/>
      <c r="N20" s="45" t="s">
        <v>1284</v>
      </c>
      <c r="O20" s="47">
        <f>Q14</f>
        <v>71.600000000000009</v>
      </c>
      <c r="P20" s="40">
        <f t="shared" si="12"/>
        <v>2</v>
      </c>
      <c r="Q20" s="73"/>
      <c r="U20" s="16" t="s">
        <v>1115</v>
      </c>
      <c r="V20" s="149">
        <v>933</v>
      </c>
      <c r="W20" s="93" t="s">
        <v>166</v>
      </c>
      <c r="X20" s="14">
        <f>C19</f>
        <v>9.85</v>
      </c>
      <c r="Y20" s="283">
        <f t="shared" si="1"/>
        <v>5</v>
      </c>
      <c r="Z20" s="14">
        <f>D19</f>
        <v>9</v>
      </c>
      <c r="AA20" s="283">
        <f t="shared" si="3"/>
        <v>1</v>
      </c>
      <c r="AB20" s="212">
        <f>Table3515505713[[#This Row],[Floor4]]+Table3515505713[[#This Row],[Vault6]]</f>
        <v>18.850000000000001</v>
      </c>
      <c r="AC20" s="283">
        <f t="shared" si="4"/>
        <v>1</v>
      </c>
    </row>
    <row r="21" spans="1:29">
      <c r="A21" s="152"/>
      <c r="B21" s="110"/>
      <c r="C21" s="73"/>
      <c r="D21" s="73"/>
      <c r="E21" s="73"/>
      <c r="F21" s="1"/>
      <c r="G21" s="113"/>
      <c r="H21" s="113"/>
      <c r="I21" s="113"/>
      <c r="J21" s="113"/>
      <c r="K21" s="113"/>
      <c r="L21" s="113"/>
      <c r="U21" s="307" t="s">
        <v>391</v>
      </c>
      <c r="V21" s="318">
        <v>938</v>
      </c>
      <c r="W21" s="308" t="s">
        <v>435</v>
      </c>
      <c r="X21" s="295">
        <f>'INT 16&amp;A MX'!D11</f>
        <v>10.1</v>
      </c>
      <c r="Y21" s="283">
        <f t="shared" si="1"/>
        <v>1</v>
      </c>
      <c r="Z21" s="295">
        <f>'INT 16&amp;A MX'!E11</f>
        <v>8.6999999999999993</v>
      </c>
      <c r="AA21" s="283">
        <f t="shared" si="3"/>
        <v>4</v>
      </c>
      <c r="AB21" s="299">
        <f>Table3515505713[[#This Row],[Floor4]]+Table3515505713[[#This Row],[Vault6]]</f>
        <v>18.799999999999997</v>
      </c>
      <c r="AC21" s="283">
        <f t="shared" si="4"/>
        <v>2</v>
      </c>
    </row>
    <row r="22" spans="1:29">
      <c r="A22" s="152"/>
      <c r="B22" s="140"/>
      <c r="C22" s="73"/>
      <c r="D22" s="73"/>
      <c r="E22" s="73"/>
      <c r="F22" s="1"/>
      <c r="G22" s="111"/>
      <c r="H22" s="111"/>
      <c r="I22" s="111"/>
      <c r="J22" s="111"/>
      <c r="K22" s="111"/>
      <c r="L22" s="1"/>
      <c r="U22" s="309" t="s">
        <v>391</v>
      </c>
      <c r="V22" s="319">
        <v>939</v>
      </c>
      <c r="W22" s="311" t="s">
        <v>434</v>
      </c>
      <c r="X22" s="295">
        <f>'INT 16&amp;A MX'!D12</f>
        <v>10.050000000000001</v>
      </c>
      <c r="Y22" s="283">
        <f t="shared" si="1"/>
        <v>2</v>
      </c>
      <c r="Z22" s="295">
        <f>'INT 16&amp;A MX'!E12</f>
        <v>8.6</v>
      </c>
      <c r="AA22" s="283">
        <f t="shared" si="3"/>
        <v>5</v>
      </c>
      <c r="AB22" s="300">
        <f>Table3515505713[[#This Row],[Floor4]]+Table3515505713[[#This Row],[Vault6]]</f>
        <v>18.649999999999999</v>
      </c>
      <c r="AC22" s="283">
        <f t="shared" si="4"/>
        <v>3</v>
      </c>
    </row>
    <row r="23" spans="1:29">
      <c r="A23" s="152"/>
      <c r="B23" s="110"/>
      <c r="C23" s="73"/>
      <c r="D23" s="73"/>
      <c r="E23" s="73"/>
      <c r="F23" s="1"/>
      <c r="G23" s="152"/>
      <c r="H23" s="110"/>
      <c r="I23" s="73"/>
      <c r="J23" s="73"/>
      <c r="K23" s="73"/>
      <c r="L23" s="1"/>
    </row>
    <row r="24" spans="1:29">
      <c r="A24" s="152"/>
      <c r="B24" s="110"/>
      <c r="C24" s="73"/>
      <c r="D24" s="73"/>
      <c r="E24" s="73"/>
      <c r="F24" s="106"/>
      <c r="G24" s="102"/>
      <c r="H24" s="103"/>
      <c r="I24" s="73"/>
      <c r="J24" s="73"/>
      <c r="K24" s="68"/>
      <c r="L24" s="106"/>
      <c r="M24" s="102"/>
      <c r="N24" s="103"/>
      <c r="O24" s="73"/>
      <c r="P24" s="73"/>
      <c r="Q24" s="68"/>
    </row>
    <row r="25" spans="1:29">
      <c r="A25" s="1"/>
      <c r="B25" s="104"/>
      <c r="C25" s="64"/>
      <c r="D25" s="64"/>
      <c r="E25" s="105"/>
      <c r="F25" s="106"/>
      <c r="G25" s="1"/>
      <c r="H25" s="104"/>
      <c r="I25" s="64"/>
      <c r="J25" s="64"/>
      <c r="K25" s="105"/>
      <c r="L25" s="106"/>
      <c r="M25" s="1"/>
      <c r="N25" s="103"/>
      <c r="O25" s="73"/>
      <c r="P25" s="73"/>
      <c r="Q25" s="105"/>
    </row>
    <row r="26" spans="1:29">
      <c r="A26" s="1"/>
      <c r="B26" s="121"/>
      <c r="C26" s="1"/>
      <c r="D26" s="104"/>
      <c r="E26" s="115"/>
      <c r="F26" s="1"/>
      <c r="G26" s="1"/>
      <c r="H26" s="114"/>
      <c r="I26" s="1"/>
      <c r="J26" s="104"/>
      <c r="K26" s="115"/>
      <c r="L26" s="1"/>
      <c r="M26" s="1"/>
      <c r="Q26" s="115"/>
    </row>
    <row r="27" spans="1:29">
      <c r="A27" s="1"/>
      <c r="B27" s="1"/>
      <c r="C27" s="1"/>
      <c r="D27" s="1"/>
      <c r="E27" s="1"/>
    </row>
    <row r="28" spans="1:29">
      <c r="F28" s="1"/>
      <c r="L28" s="106"/>
      <c r="M28" s="102"/>
      <c r="Q28" s="73"/>
    </row>
    <row r="29" spans="1:29">
      <c r="F29" s="1"/>
      <c r="L29" s="1"/>
      <c r="M29" s="102"/>
      <c r="Q29" s="73"/>
    </row>
    <row r="30" spans="1:29">
      <c r="F30" s="1"/>
      <c r="L30" s="1"/>
      <c r="M30" s="102"/>
      <c r="Q30" s="73"/>
    </row>
    <row r="31" spans="1:29">
      <c r="A31" s="102"/>
      <c r="B31" s="103"/>
      <c r="C31" s="73"/>
      <c r="D31" s="73"/>
      <c r="E31" s="68"/>
      <c r="F31" s="106"/>
      <c r="G31" s="152"/>
      <c r="H31" s="110"/>
      <c r="I31" s="73"/>
      <c r="J31" s="73"/>
      <c r="K31" s="73"/>
      <c r="L31" s="1"/>
      <c r="M31" s="102"/>
      <c r="Q31" s="68"/>
    </row>
    <row r="32" spans="1:29">
      <c r="F32" s="106"/>
      <c r="M32" s="1"/>
      <c r="Q32" s="105"/>
    </row>
    <row r="33" spans="1:17">
      <c r="F33" s="1"/>
      <c r="M33" s="1"/>
      <c r="Q33" s="115"/>
    </row>
    <row r="34" spans="1:17">
      <c r="F34" s="81"/>
    </row>
    <row r="35" spans="1:17">
      <c r="A35" s="75"/>
      <c r="B35" s="75"/>
      <c r="C35" s="75"/>
      <c r="D35" s="75"/>
      <c r="E35" s="75"/>
      <c r="F35" s="81"/>
      <c r="G35" s="86"/>
      <c r="H35" s="86"/>
      <c r="I35" s="86"/>
      <c r="J35" s="86"/>
      <c r="K35" s="86"/>
      <c r="L35" s="86"/>
    </row>
    <row r="36" spans="1:17">
      <c r="A36" s="76"/>
      <c r="B36" s="76"/>
      <c r="C36" s="76"/>
      <c r="D36" s="76"/>
      <c r="E36" s="76"/>
      <c r="F36" s="81"/>
      <c r="G36" s="77"/>
      <c r="H36" s="77"/>
      <c r="I36" s="77"/>
      <c r="J36" s="77"/>
      <c r="K36" s="77"/>
      <c r="L36" s="81"/>
    </row>
    <row r="37" spans="1:17">
      <c r="A37" s="78"/>
      <c r="B37" s="87"/>
      <c r="C37" s="79"/>
      <c r="D37" s="79"/>
      <c r="E37" s="79"/>
      <c r="F37" s="81"/>
      <c r="G37" s="80"/>
      <c r="H37" s="87"/>
      <c r="I37" s="68"/>
      <c r="J37" s="68"/>
      <c r="K37" s="68"/>
      <c r="L37" s="81"/>
    </row>
    <row r="38" spans="1:17">
      <c r="A38" s="78"/>
      <c r="B38" s="87"/>
      <c r="C38" s="79"/>
      <c r="D38" s="79"/>
      <c r="E38" s="79"/>
      <c r="F38" s="81"/>
      <c r="G38" s="80"/>
      <c r="H38" s="87"/>
      <c r="I38" s="68"/>
      <c r="J38" s="68"/>
      <c r="K38" s="68"/>
      <c r="L38" s="81"/>
    </row>
    <row r="39" spans="1:17">
      <c r="A39" s="78"/>
      <c r="B39" s="87"/>
      <c r="C39" s="79"/>
      <c r="D39" s="79"/>
      <c r="E39" s="79"/>
      <c r="F39" s="81"/>
      <c r="G39" s="81"/>
      <c r="H39" s="81"/>
      <c r="I39" s="81"/>
      <c r="J39" s="81"/>
      <c r="K39" s="81"/>
      <c r="L39" s="81"/>
      <c r="N39" s="65"/>
      <c r="O39" s="66"/>
      <c r="P39" s="67"/>
    </row>
    <row r="40" spans="1:17">
      <c r="A40" s="78"/>
      <c r="B40" s="87"/>
      <c r="C40" s="79"/>
      <c r="D40" s="79"/>
      <c r="E40" s="79"/>
      <c r="F40" s="81"/>
      <c r="G40" s="86"/>
      <c r="H40" s="86"/>
      <c r="I40" s="86"/>
      <c r="J40" s="86"/>
      <c r="K40" s="86"/>
      <c r="L40" s="86"/>
    </row>
    <row r="41" spans="1:17">
      <c r="A41" s="78"/>
      <c r="B41" s="87"/>
      <c r="C41" s="79"/>
      <c r="D41" s="79"/>
      <c r="E41" s="79"/>
      <c r="F41" s="81"/>
      <c r="G41" s="77"/>
      <c r="H41" s="77"/>
      <c r="I41" s="77"/>
      <c r="J41" s="77"/>
      <c r="K41" s="77"/>
      <c r="L41" s="81"/>
    </row>
    <row r="42" spans="1:17">
      <c r="A42" s="78"/>
      <c r="B42" s="87"/>
      <c r="C42" s="79"/>
      <c r="D42" s="79"/>
      <c r="E42" s="79"/>
      <c r="F42" s="81"/>
      <c r="G42" s="80"/>
      <c r="H42" s="87"/>
      <c r="I42" s="68"/>
      <c r="J42" s="68"/>
      <c r="K42" s="68"/>
      <c r="L42" s="81"/>
    </row>
    <row r="43" spans="1:17">
      <c r="A43" s="88"/>
      <c r="B43" s="82"/>
      <c r="C43" s="79"/>
      <c r="D43" s="79"/>
      <c r="E43" s="83"/>
      <c r="F43" s="81"/>
      <c r="G43" s="80"/>
      <c r="H43" s="87"/>
      <c r="I43" s="68"/>
      <c r="J43" s="68"/>
      <c r="K43" s="68"/>
      <c r="L43" s="81"/>
    </row>
    <row r="44" spans="1:17">
      <c r="A44" s="81"/>
      <c r="B44" s="89"/>
      <c r="C44" s="81"/>
      <c r="D44" s="84"/>
      <c r="E44" s="85"/>
      <c r="F44" s="81"/>
      <c r="G44" s="81"/>
      <c r="H44" s="81"/>
      <c r="I44" s="81"/>
      <c r="J44" s="81"/>
      <c r="K44" s="81"/>
      <c r="L44" s="81"/>
    </row>
    <row r="45" spans="1:17">
      <c r="A45" s="75"/>
      <c r="B45" s="75"/>
      <c r="C45" s="75"/>
      <c r="D45" s="75"/>
      <c r="E45" s="75"/>
      <c r="F45" s="81"/>
      <c r="G45" s="86"/>
      <c r="H45" s="86"/>
      <c r="I45" s="86"/>
      <c r="J45" s="86"/>
      <c r="K45" s="86"/>
      <c r="L45" s="86"/>
    </row>
    <row r="46" spans="1:17">
      <c r="A46" s="76"/>
      <c r="B46" s="76"/>
      <c r="C46" s="76"/>
      <c r="D46" s="76"/>
      <c r="E46" s="76"/>
      <c r="F46" s="81"/>
      <c r="G46" s="77"/>
      <c r="H46" s="77"/>
      <c r="I46" s="77"/>
      <c r="J46" s="77"/>
      <c r="K46" s="77"/>
      <c r="L46" s="81"/>
    </row>
    <row r="47" spans="1:17">
      <c r="A47" s="78"/>
      <c r="B47" s="87"/>
      <c r="C47" s="79"/>
      <c r="D47" s="79"/>
      <c r="E47" s="79"/>
      <c r="F47" s="81"/>
      <c r="G47" s="80"/>
      <c r="H47" s="87"/>
      <c r="I47" s="68"/>
      <c r="J47" s="68"/>
      <c r="K47" s="68"/>
      <c r="L47" s="81"/>
    </row>
    <row r="48" spans="1:17">
      <c r="A48" s="78"/>
      <c r="B48" s="87"/>
      <c r="C48" s="79"/>
      <c r="D48" s="79"/>
      <c r="E48" s="79"/>
      <c r="F48" s="81"/>
      <c r="G48" s="81"/>
      <c r="H48" s="81"/>
      <c r="I48" s="81"/>
      <c r="J48" s="81"/>
      <c r="K48" s="81"/>
      <c r="L48" s="81"/>
    </row>
    <row r="49" spans="1:12">
      <c r="A49" s="78"/>
      <c r="B49" s="87"/>
      <c r="C49" s="79"/>
      <c r="D49" s="79"/>
      <c r="E49" s="79"/>
      <c r="F49" s="81"/>
      <c r="G49" s="81"/>
      <c r="H49" s="81"/>
      <c r="I49" s="81"/>
      <c r="J49" s="81"/>
      <c r="K49" s="81"/>
      <c r="L49" s="81"/>
    </row>
    <row r="50" spans="1:12">
      <c r="A50" s="78"/>
      <c r="B50" s="87"/>
      <c r="C50" s="79"/>
      <c r="D50" s="79"/>
      <c r="E50" s="79"/>
      <c r="F50" s="81"/>
      <c r="G50" s="81"/>
      <c r="H50" s="81"/>
      <c r="I50" s="81"/>
      <c r="J50" s="81"/>
      <c r="K50" s="81"/>
      <c r="L50" s="81"/>
    </row>
    <row r="51" spans="1:12">
      <c r="A51" s="78"/>
      <c r="B51" s="87"/>
      <c r="C51" s="79"/>
      <c r="D51" s="79"/>
      <c r="E51" s="79"/>
      <c r="F51" s="81"/>
      <c r="G51" s="81"/>
      <c r="H51" s="81"/>
      <c r="I51" s="81"/>
      <c r="J51" s="81"/>
      <c r="K51" s="81"/>
      <c r="L51" s="81"/>
    </row>
    <row r="52" spans="1:12">
      <c r="A52" s="78"/>
      <c r="B52" s="87"/>
      <c r="C52" s="79"/>
      <c r="D52" s="79"/>
      <c r="E52" s="79"/>
      <c r="F52" s="81"/>
      <c r="G52" s="81"/>
      <c r="H52" s="81"/>
      <c r="I52" s="81"/>
      <c r="J52" s="81"/>
      <c r="K52" s="81"/>
      <c r="L52" s="81"/>
    </row>
    <row r="53" spans="1:12">
      <c r="A53" s="88"/>
      <c r="B53" s="82"/>
      <c r="C53" s="79"/>
      <c r="D53" s="79"/>
      <c r="E53" s="83"/>
      <c r="F53" s="81"/>
      <c r="G53" s="81"/>
      <c r="H53" s="81"/>
      <c r="I53" s="81"/>
      <c r="J53" s="81"/>
      <c r="K53" s="81"/>
      <c r="L53" s="81"/>
    </row>
    <row r="54" spans="1:1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1:1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1:1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1:1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1:1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</sheetData>
  <mergeCells count="3">
    <mergeCell ref="A1:AC1"/>
    <mergeCell ref="A2:AC2"/>
    <mergeCell ref="G4:I4"/>
  </mergeCells>
  <phoneticPr fontId="21" type="noConversion"/>
  <conditionalFormatting sqref="Y7:Y22">
    <cfRule type="cellIs" dxfId="590" priority="7" operator="equal">
      <formula>3</formula>
    </cfRule>
    <cfRule type="cellIs" dxfId="589" priority="8" operator="equal">
      <formula>2</formula>
    </cfRule>
    <cfRule type="cellIs" dxfId="588" priority="9" operator="equal">
      <formula>1</formula>
    </cfRule>
  </conditionalFormatting>
  <conditionalFormatting sqref="P18:P20">
    <cfRule type="cellIs" dxfId="587" priority="10" operator="equal">
      <formula>3</formula>
    </cfRule>
    <cfRule type="cellIs" dxfId="586" priority="11" operator="equal">
      <formula>2</formula>
    </cfRule>
    <cfRule type="cellIs" dxfId="585" priority="12" operator="equal">
      <formula>1</formula>
    </cfRule>
  </conditionalFormatting>
  <conditionalFormatting sqref="AA7:AA22">
    <cfRule type="cellIs" dxfId="584" priority="4" operator="equal">
      <formula>3</formula>
    </cfRule>
    <cfRule type="cellIs" dxfId="583" priority="5" operator="equal">
      <formula>2</formula>
    </cfRule>
    <cfRule type="cellIs" dxfId="582" priority="6" operator="equal">
      <formula>1</formula>
    </cfRule>
  </conditionalFormatting>
  <conditionalFormatting sqref="AC7:AC22">
    <cfRule type="cellIs" dxfId="581" priority="1" operator="equal">
      <formula>3</formula>
    </cfRule>
    <cfRule type="cellIs" dxfId="580" priority="2" operator="equal">
      <formula>2</formula>
    </cfRule>
    <cfRule type="cellIs" dxfId="579" priority="3" operator="equal">
      <formula>1</formula>
    </cfRule>
  </conditionalFormatting>
  <pageMargins left="0.75" right="0.75" top="1" bottom="1" header="0.5" footer="0.5"/>
  <pageSetup paperSize="9" scale="53" orientation="landscape" horizontalDpi="4294967292" verticalDpi="4294967292"/>
  <colBreaks count="1" manualBreakCount="1">
    <brk id="29" max="1048575" man="1"/>
  </colBreaks>
  <ignoredErrors>
    <ignoredError sqref="Z7:Z22" formula="1"/>
  </ignoredErrors>
  <tableParts count="2">
    <tablePart r:id="rId1"/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D18"/>
  <sheetViews>
    <sheetView zoomScale="90" zoomScaleNormal="90" zoomScalePageLayoutView="90" workbookViewId="0">
      <selection activeCell="A4" sqref="A4"/>
    </sheetView>
  </sheetViews>
  <sheetFormatPr defaultColWidth="8.875" defaultRowHeight="15.75"/>
  <cols>
    <col min="1" max="1" width="5.5" bestFit="1" customWidth="1"/>
    <col min="2" max="2" width="4.625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4.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  <col min="34" max="34" width="0.5" customWidth="1"/>
  </cols>
  <sheetData>
    <row r="1" spans="1:8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8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"/>
      <c r="BI2" s="2"/>
    </row>
    <row r="3" spans="1:82" ht="23.25"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21">
      <c r="A4" s="8"/>
      <c r="F4" s="1"/>
      <c r="G4" s="1"/>
      <c r="H4" s="1"/>
      <c r="I4" s="1"/>
      <c r="J4" s="1"/>
      <c r="K4" s="1"/>
      <c r="L4" s="467" t="s">
        <v>136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>
      <c r="V5" s="1"/>
    </row>
    <row r="6" spans="1:82">
      <c r="A6" s="470" t="s">
        <v>388</v>
      </c>
      <c r="B6" s="471"/>
      <c r="C6" s="471"/>
      <c r="D6" s="471"/>
      <c r="E6" s="471"/>
      <c r="F6" s="472"/>
      <c r="G6" s="8"/>
      <c r="H6" s="8"/>
      <c r="I6" s="8"/>
      <c r="J6" s="8"/>
      <c r="K6" s="8"/>
      <c r="L6" s="113"/>
      <c r="M6" s="113"/>
      <c r="N6" s="39" t="s">
        <v>12</v>
      </c>
      <c r="O6" s="43" t="s">
        <v>5</v>
      </c>
      <c r="P6" s="44" t="s">
        <v>11</v>
      </c>
      <c r="Q6" s="113"/>
      <c r="R6" s="8"/>
      <c r="S6" s="8"/>
      <c r="T6" s="8"/>
      <c r="U6" s="8"/>
      <c r="V6" s="8"/>
      <c r="W6" s="137"/>
      <c r="X6" s="137"/>
      <c r="AB6" s="137"/>
      <c r="AC6" s="8"/>
      <c r="AD6" s="8"/>
      <c r="AE6" s="8"/>
      <c r="AF6" s="8"/>
      <c r="AG6" s="8"/>
    </row>
    <row r="7" spans="1:82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11"/>
      <c r="I7" s="11" t="s">
        <v>7</v>
      </c>
      <c r="J7" s="11"/>
      <c r="L7" s="111"/>
      <c r="M7" s="111"/>
      <c r="N7" s="45" t="s">
        <v>541</v>
      </c>
      <c r="O7" s="47">
        <f>F14</f>
        <v>76.099999999999994</v>
      </c>
      <c r="P7" s="40">
        <f>SUMPRODUCT((O$7:O$7&gt;O7)/COUNTIF(O$7:O$7,O$7:O$7&amp;""))+1</f>
        <v>1</v>
      </c>
      <c r="Q7" s="111"/>
      <c r="R7" s="112" t="s">
        <v>6</v>
      </c>
      <c r="S7" s="11"/>
      <c r="T7" s="11" t="s">
        <v>7</v>
      </c>
      <c r="U7" s="11"/>
      <c r="W7" s="77"/>
      <c r="X7" s="77"/>
      <c r="AB7" s="77"/>
      <c r="AC7" s="112" t="s">
        <v>6</v>
      </c>
      <c r="AD7" s="11"/>
      <c r="AE7" s="11" t="s">
        <v>7</v>
      </c>
      <c r="AF7" s="11"/>
    </row>
    <row r="8" spans="1:82">
      <c r="A8" s="12" t="s">
        <v>8</v>
      </c>
      <c r="B8" s="149">
        <v>935</v>
      </c>
      <c r="C8" s="93" t="s">
        <v>430</v>
      </c>
      <c r="D8" s="13">
        <v>10.3</v>
      </c>
      <c r="E8" s="13">
        <v>8.9</v>
      </c>
      <c r="F8" s="13">
        <f>SUM(D8:E8)</f>
        <v>19.200000000000003</v>
      </c>
      <c r="G8" s="11">
        <f t="shared" ref="G8:G13" si="0">IF(A8="M",D8)</f>
        <v>10.3</v>
      </c>
      <c r="H8" s="11" t="b">
        <f t="shared" ref="H8:H13" si="1">IF(A8="F",D8)</f>
        <v>0</v>
      </c>
      <c r="I8" s="11">
        <f t="shared" ref="I8:I13" si="2">IF(A8="M",E8)</f>
        <v>8.9</v>
      </c>
      <c r="J8" s="11" t="b">
        <f t="shared" ref="J8:J13" si="3">IF(A8="F",E8)</f>
        <v>0</v>
      </c>
      <c r="L8" s="102"/>
      <c r="M8" s="152"/>
      <c r="N8" s="110"/>
      <c r="O8" s="73"/>
      <c r="P8" s="73"/>
      <c r="Q8" s="73"/>
      <c r="R8" s="11" t="b">
        <f>IF(L8="M",#REF!)</f>
        <v>0</v>
      </c>
      <c r="S8" s="11" t="b">
        <f>IF(L8="F",#REF!)</f>
        <v>0</v>
      </c>
      <c r="T8" s="11" t="b">
        <f>IF(L8="M",#REF!)</f>
        <v>0</v>
      </c>
      <c r="U8" s="11" t="b">
        <f>IF(L8="F",#REF!)</f>
        <v>0</v>
      </c>
      <c r="W8" s="80"/>
      <c r="X8" s="80"/>
      <c r="AB8" s="68"/>
      <c r="AC8" s="11" t="b">
        <f>IF(W8="M",#REF!)</f>
        <v>0</v>
      </c>
      <c r="AD8" s="11" t="b">
        <f>IF(W8="F",#REF!)</f>
        <v>0</v>
      </c>
      <c r="AE8" s="11" t="b">
        <f>IF(W8="M",#REF!)</f>
        <v>0</v>
      </c>
      <c r="AF8" s="11" t="b">
        <f>IF(W8="F",#REF!)</f>
        <v>0</v>
      </c>
    </row>
    <row r="9" spans="1:82">
      <c r="A9" s="12" t="s">
        <v>8</v>
      </c>
      <c r="B9" s="149">
        <v>936</v>
      </c>
      <c r="C9" s="93" t="s">
        <v>437</v>
      </c>
      <c r="D9" s="13">
        <v>10.15</v>
      </c>
      <c r="E9" s="13">
        <v>9.3000000000000007</v>
      </c>
      <c r="F9" s="13">
        <f>SUM(D9:E9)</f>
        <v>19.450000000000003</v>
      </c>
      <c r="G9" s="11">
        <f t="shared" si="0"/>
        <v>10.15</v>
      </c>
      <c r="H9" s="11" t="b">
        <f t="shared" si="1"/>
        <v>0</v>
      </c>
      <c r="I9" s="11">
        <f t="shared" si="2"/>
        <v>9.3000000000000007</v>
      </c>
      <c r="J9" s="11" t="b">
        <f t="shared" si="3"/>
        <v>0</v>
      </c>
      <c r="L9" s="102"/>
      <c r="M9" s="152"/>
      <c r="N9" s="110"/>
      <c r="O9" s="73"/>
      <c r="P9" s="73"/>
      <c r="Q9" s="73"/>
      <c r="R9" s="11" t="b">
        <f>IF(L9="M",O8)</f>
        <v>0</v>
      </c>
      <c r="S9" s="11" t="b">
        <f>IF(L9="F",O8)</f>
        <v>0</v>
      </c>
      <c r="T9" s="11" t="b">
        <f>IF(L9="M",P8)</f>
        <v>0</v>
      </c>
      <c r="U9" s="11" t="b">
        <f>IF(L9="F",P8)</f>
        <v>0</v>
      </c>
      <c r="W9" s="80"/>
      <c r="X9" s="80"/>
      <c r="AB9" s="68"/>
      <c r="AC9" s="11" t="b">
        <f>IF(W9="M",#REF!)</f>
        <v>0</v>
      </c>
      <c r="AD9" s="11" t="b">
        <f>IF(W9="F",#REF!)</f>
        <v>0</v>
      </c>
      <c r="AE9" s="11" t="b">
        <f>IF(W9="M",#REF!)</f>
        <v>0</v>
      </c>
      <c r="AF9" s="11" t="b">
        <f>IF(W9="F",#REF!)</f>
        <v>0</v>
      </c>
    </row>
    <row r="10" spans="1:82">
      <c r="A10" s="12" t="s">
        <v>8</v>
      </c>
      <c r="B10" s="149">
        <v>937</v>
      </c>
      <c r="C10" s="97"/>
      <c r="D10" s="13">
        <v>0</v>
      </c>
      <c r="E10" s="13">
        <v>0</v>
      </c>
      <c r="F10" s="13">
        <f t="shared" ref="F10:F13" si="4">SUM(D10:E10)</f>
        <v>0</v>
      </c>
      <c r="G10" s="11">
        <f t="shared" si="0"/>
        <v>0</v>
      </c>
      <c r="H10" s="11" t="b">
        <f t="shared" si="1"/>
        <v>0</v>
      </c>
      <c r="I10" s="11">
        <f t="shared" si="2"/>
        <v>0</v>
      </c>
      <c r="J10" s="11" t="b">
        <f t="shared" si="3"/>
        <v>0</v>
      </c>
      <c r="L10" s="102"/>
      <c r="M10" s="152"/>
      <c r="N10" s="110"/>
      <c r="O10" s="68"/>
      <c r="P10" s="68"/>
      <c r="Q10" s="73"/>
      <c r="R10" s="11" t="b">
        <f>IF(L11="M",O9)</f>
        <v>0</v>
      </c>
      <c r="S10" s="11" t="b">
        <f>IF(L11="F",O9)</f>
        <v>0</v>
      </c>
      <c r="T10" s="11" t="b">
        <f>IF(L11="M",P9)</f>
        <v>0</v>
      </c>
      <c r="U10" s="11" t="b">
        <f>IF(L11="F",P9)</f>
        <v>0</v>
      </c>
      <c r="W10" s="80"/>
      <c r="X10" s="80"/>
      <c r="Y10" s="107"/>
      <c r="Z10" s="68"/>
      <c r="AA10" s="68"/>
      <c r="AB10" s="68"/>
      <c r="AC10" s="11" t="b">
        <f>IF(W10="M",#REF!)</f>
        <v>0</v>
      </c>
      <c r="AD10" s="11" t="b">
        <f>IF(W10="F",#REF!)</f>
        <v>0</v>
      </c>
      <c r="AE10" s="11" t="b">
        <f>IF(W10="M",#REF!)</f>
        <v>0</v>
      </c>
      <c r="AF10" s="11" t="b">
        <f>IF(W10="F",#REF!)</f>
        <v>0</v>
      </c>
    </row>
    <row r="11" spans="1:82">
      <c r="A11" s="12" t="s">
        <v>9</v>
      </c>
      <c r="B11" s="149">
        <v>938</v>
      </c>
      <c r="C11" s="93" t="s">
        <v>435</v>
      </c>
      <c r="D11" s="14">
        <v>10.1</v>
      </c>
      <c r="E11" s="14">
        <v>8.6999999999999993</v>
      </c>
      <c r="F11" s="13">
        <f t="shared" si="4"/>
        <v>18.799999999999997</v>
      </c>
      <c r="G11" s="15" t="b">
        <f t="shared" si="0"/>
        <v>0</v>
      </c>
      <c r="H11" s="15">
        <f t="shared" si="1"/>
        <v>10.1</v>
      </c>
      <c r="I11" s="15" t="b">
        <f t="shared" si="2"/>
        <v>0</v>
      </c>
      <c r="J11" s="15">
        <f t="shared" si="3"/>
        <v>8.6999999999999993</v>
      </c>
      <c r="K11" s="8"/>
      <c r="L11" s="102"/>
      <c r="M11" s="152"/>
      <c r="N11" s="110"/>
      <c r="O11" s="68"/>
      <c r="P11" s="68"/>
      <c r="Q11" s="73"/>
      <c r="R11" s="15" t="b">
        <f>IF(L12="M",O10)</f>
        <v>0</v>
      </c>
      <c r="S11" s="15" t="b">
        <f>IF(L12="F",O10)</f>
        <v>0</v>
      </c>
      <c r="T11" s="15" t="b">
        <f>IF(L12="M",P10)</f>
        <v>0</v>
      </c>
      <c r="U11" s="15" t="b">
        <f>IF(L12="F",P10)</f>
        <v>0</v>
      </c>
      <c r="V11" s="8"/>
      <c r="W11" s="80"/>
      <c r="X11" s="80"/>
      <c r="Y11" s="107"/>
      <c r="Z11" s="68"/>
      <c r="AA11" s="68"/>
      <c r="AB11" s="68"/>
      <c r="AC11" s="15" t="b">
        <f>IF(W11="M",#REF!)</f>
        <v>0</v>
      </c>
      <c r="AD11" s="15" t="b">
        <f>IF(W11="F",#REF!)</f>
        <v>0</v>
      </c>
      <c r="AE11" s="15" t="b">
        <f>IF(W11="M",#REF!)</f>
        <v>0</v>
      </c>
      <c r="AF11" s="15" t="b">
        <f>IF(W11="F",#REF!)</f>
        <v>0</v>
      </c>
      <c r="AG11" s="8"/>
    </row>
    <row r="12" spans="1:82">
      <c r="A12" s="12" t="s">
        <v>9</v>
      </c>
      <c r="B12" s="149">
        <v>939</v>
      </c>
      <c r="C12" s="100" t="s">
        <v>434</v>
      </c>
      <c r="D12" s="14">
        <v>10.050000000000001</v>
      </c>
      <c r="E12" s="14">
        <v>8.6</v>
      </c>
      <c r="F12" s="13">
        <f t="shared" si="4"/>
        <v>18.649999999999999</v>
      </c>
      <c r="G12" s="15" t="b">
        <f t="shared" si="0"/>
        <v>0</v>
      </c>
      <c r="H12" s="15">
        <f t="shared" si="1"/>
        <v>10.050000000000001</v>
      </c>
      <c r="I12" s="15" t="b">
        <f t="shared" si="2"/>
        <v>0</v>
      </c>
      <c r="J12" s="15">
        <f t="shared" si="3"/>
        <v>8.6</v>
      </c>
      <c r="K12" s="8"/>
      <c r="L12" s="102"/>
      <c r="M12" s="152"/>
      <c r="N12" s="110"/>
      <c r="O12" s="68"/>
      <c r="P12" s="68"/>
      <c r="Q12" s="73"/>
      <c r="R12" s="15" t="b">
        <f>IF(L13="M",O11)</f>
        <v>0</v>
      </c>
      <c r="S12" s="15" t="b">
        <f>IF(L13="F",O11)</f>
        <v>0</v>
      </c>
      <c r="T12" s="15" t="b">
        <f>IF(L13="M",P11)</f>
        <v>0</v>
      </c>
      <c r="U12" s="15" t="b">
        <f>IF(L13="F",P11)</f>
        <v>0</v>
      </c>
      <c r="V12" s="8"/>
      <c r="W12" s="80"/>
      <c r="X12" s="80"/>
      <c r="Y12" s="107"/>
      <c r="Z12" s="68"/>
      <c r="AA12" s="68"/>
      <c r="AB12" s="68"/>
      <c r="AC12" s="15" t="b">
        <f>IF(W12="M",Z10)</f>
        <v>0</v>
      </c>
      <c r="AD12" s="15" t="b">
        <f>IF(W12="F",Z10)</f>
        <v>0</v>
      </c>
      <c r="AE12" s="15" t="b">
        <f>IF(W12="M",AA10)</f>
        <v>0</v>
      </c>
      <c r="AF12" s="15" t="b">
        <f>IF(W12="F",AA10)</f>
        <v>0</v>
      </c>
      <c r="AG12" s="8"/>
    </row>
    <row r="13" spans="1:82" ht="16.5" thickBot="1">
      <c r="A13" s="12" t="s">
        <v>9</v>
      </c>
      <c r="B13" s="149">
        <v>940</v>
      </c>
      <c r="C13" s="97"/>
      <c r="D13" s="14">
        <v>0</v>
      </c>
      <c r="E13" s="14">
        <v>0</v>
      </c>
      <c r="F13" s="13">
        <f t="shared" si="4"/>
        <v>0</v>
      </c>
      <c r="G13" s="15" t="b">
        <f t="shared" si="0"/>
        <v>0</v>
      </c>
      <c r="H13" s="15">
        <f t="shared" si="1"/>
        <v>0</v>
      </c>
      <c r="I13" s="15" t="b">
        <f t="shared" si="2"/>
        <v>0</v>
      </c>
      <c r="J13" s="15">
        <f t="shared" si="3"/>
        <v>0</v>
      </c>
      <c r="K13" s="8"/>
      <c r="L13" s="102"/>
      <c r="M13" s="152"/>
      <c r="N13" s="84"/>
      <c r="O13" s="64"/>
      <c r="P13" s="64"/>
      <c r="Q13" s="68"/>
      <c r="R13" s="15" t="b">
        <f>IF(L10="M",O12)</f>
        <v>0</v>
      </c>
      <c r="S13" s="15" t="b">
        <f>IF(L10="F",O12)</f>
        <v>0</v>
      </c>
      <c r="T13" s="15" t="b">
        <f>IF(L10="M",P12)</f>
        <v>0</v>
      </c>
      <c r="U13" s="15" t="b">
        <f>IF(L10="F",P12)</f>
        <v>0</v>
      </c>
      <c r="V13" s="8"/>
      <c r="W13" s="80"/>
      <c r="X13" s="80"/>
      <c r="Y13" s="107"/>
      <c r="Z13" s="68"/>
      <c r="AA13" s="68"/>
      <c r="AB13" s="68"/>
      <c r="AC13" s="15" t="b">
        <f>IF(W13="M",Z11)</f>
        <v>0</v>
      </c>
      <c r="AD13" s="15" t="b">
        <f>IF(W13="F",Z11)</f>
        <v>0</v>
      </c>
      <c r="AE13" s="15" t="b">
        <f>IF(W13="M",AA11)</f>
        <v>0</v>
      </c>
      <c r="AF13" s="15" t="b">
        <f>IF(W13="F",AA11)</f>
        <v>0</v>
      </c>
      <c r="AG13" s="8"/>
    </row>
    <row r="14" spans="1:82" ht="16.5" thickBot="1">
      <c r="A14" s="8"/>
      <c r="B14" s="8"/>
      <c r="C14" s="18" t="s">
        <v>10</v>
      </c>
      <c r="D14" s="19">
        <f>G15+H15</f>
        <v>40.6</v>
      </c>
      <c r="E14" s="19">
        <f>I15+J15</f>
        <v>35.5</v>
      </c>
      <c r="F14" s="20">
        <f>SUM(D14:E14)</f>
        <v>76.099999999999994</v>
      </c>
      <c r="G14" s="8">
        <f>COUNTIF(A8:A13,"M")</f>
        <v>3</v>
      </c>
      <c r="H14" s="8">
        <f>COUNTIF(A8:A13,"F")</f>
        <v>3</v>
      </c>
      <c r="I14" s="8">
        <f>COUNTIF(A8:A13,"M")</f>
        <v>3</v>
      </c>
      <c r="J14" s="8">
        <f>COUNTIF(A8:A13,"F")</f>
        <v>3</v>
      </c>
      <c r="K14" s="8"/>
      <c r="L14" s="106"/>
      <c r="M14" s="106"/>
      <c r="Q14" s="105"/>
      <c r="R14" s="8">
        <f>COUNTIF(L8:L10,"M")</f>
        <v>0</v>
      </c>
      <c r="S14" s="8">
        <f>COUNTIF(L8:L10,"F")</f>
        <v>0</v>
      </c>
      <c r="T14" s="8">
        <f>COUNTIF(L8:L10,"M")</f>
        <v>0</v>
      </c>
      <c r="U14" s="8">
        <f>COUNTIF(L8:L10,"F")</f>
        <v>0</v>
      </c>
      <c r="V14" s="8"/>
      <c r="W14" s="106"/>
      <c r="X14" s="106"/>
      <c r="Y14" s="84"/>
      <c r="Z14" s="64"/>
      <c r="AA14" s="64"/>
      <c r="AB14" s="105"/>
      <c r="AC14" s="8">
        <f>COUNTIF(W8:W13,"M")</f>
        <v>0</v>
      </c>
      <c r="AD14" s="8">
        <f>COUNTIF(W8:W13,"F")</f>
        <v>0</v>
      </c>
      <c r="AE14" s="8">
        <f>COUNTIF(W8:W13,"M")</f>
        <v>0</v>
      </c>
      <c r="AF14" s="8">
        <f>COUNTIF(W8:W13,"F")</f>
        <v>0</v>
      </c>
      <c r="AG14" s="8"/>
    </row>
    <row r="15" spans="1:82">
      <c r="C15" s="94" t="s">
        <v>1302</v>
      </c>
      <c r="D15" s="8"/>
      <c r="E15" s="18"/>
      <c r="F15" s="22"/>
      <c r="G15" s="23">
        <f>IF(G14=2,SUM(G8:G13),IF(G14=3,SUM(G8:G13)-SMALL(G8:G13,1),IF(G14=4,SUM(G8:G13)-SMALL(G8:G13,1)-SMALL(G8:G13,2))))</f>
        <v>20.450000000000003</v>
      </c>
      <c r="H15" s="23">
        <f>IF(H14=2,SUM(H8:H13),IF(H14=3,SUM(H8:H13)-SMALL(H8:H13,1),IF(H14=4,SUM(H8:H13)-SMALL(H8:H13,1)-SMALL(H8:H13,2))))</f>
        <v>20.149999999999999</v>
      </c>
      <c r="I15" s="23">
        <f>IF(I14=2,SUM(I8:I13),IF(I14=3,SUM(I8:I13)-SMALL(I8:I13,1),IF(I14=4,SUM(I8:I13)-SMALL(I8:I13,1)-SMALL(I8:I13,2))))</f>
        <v>18.200000000000003</v>
      </c>
      <c r="J15" s="23">
        <f>IF(J14=2,SUM(J8:J13),IF(J14=3,SUM(J8:J13)-SMALL(J8:J13,1),IF(J14=4,SUM(J8:J13)-SMALL(J8:J13,1)-SMALL(J8:J13,2))))</f>
        <v>17.299999999999997</v>
      </c>
      <c r="K15" s="8"/>
      <c r="N15" s="107"/>
    </row>
    <row r="18" spans="3:3">
      <c r="C18" s="70"/>
    </row>
  </sheetData>
  <mergeCells count="4">
    <mergeCell ref="A1:AB1"/>
    <mergeCell ref="A2:AB2"/>
    <mergeCell ref="L4:O4"/>
    <mergeCell ref="A6:F6"/>
  </mergeCells>
  <phoneticPr fontId="21" type="noConversion"/>
  <conditionalFormatting sqref="P7">
    <cfRule type="cellIs" dxfId="561" priority="1" operator="equal">
      <formula>3</formula>
    </cfRule>
    <cfRule type="cellIs" dxfId="560" priority="2" operator="equal">
      <formula>2</formula>
    </cfRule>
    <cfRule type="cellIs" dxfId="559" priority="3" operator="equal">
      <formula>1</formula>
    </cfRule>
  </conditionalFormatting>
  <pageMargins left="0.75" right="0.75" top="1" bottom="1" header="0.5" footer="0.5"/>
  <pageSetup paperSize="9" scale="70" orientation="landscape" horizontalDpi="4294967292" verticalDpi="4294967292"/>
  <colBreaks count="1" manualBreakCount="1">
    <brk id="34" max="1048575" man="1"/>
  </colBreaks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38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4.875" customWidth="1"/>
    <col min="2" max="2" width="17.5" bestFit="1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18.875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625" customWidth="1"/>
    <col min="22" max="22" width="6.125" customWidth="1"/>
    <col min="23" max="23" width="16.625" bestFit="1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70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0"/>
      <c r="BJ2" s="90"/>
    </row>
    <row r="3" spans="1:70" ht="28.5" customHeight="1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A4" s="8"/>
      <c r="E4" s="1"/>
      <c r="F4" s="1"/>
      <c r="G4" s="461" t="s">
        <v>124</v>
      </c>
      <c r="H4" s="462"/>
      <c r="I4" s="463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6" spans="1:70" s="8" customFormat="1">
      <c r="A6" s="285" t="s">
        <v>49</v>
      </c>
      <c r="B6" s="135"/>
      <c r="C6" s="135"/>
      <c r="D6" s="135"/>
      <c r="E6" s="136"/>
      <c r="G6" s="285" t="s">
        <v>167</v>
      </c>
      <c r="H6" s="173"/>
      <c r="I6" s="173"/>
      <c r="J6" s="173"/>
      <c r="K6" s="174"/>
      <c r="L6" s="113"/>
      <c r="M6" s="233"/>
      <c r="N6" s="233"/>
      <c r="O6" s="233"/>
      <c r="P6" s="233"/>
      <c r="Q6" s="233"/>
      <c r="R6" s="119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M7" s="111"/>
      <c r="N7" s="39" t="s">
        <v>12</v>
      </c>
      <c r="O7" s="43" t="s">
        <v>5</v>
      </c>
      <c r="P7" s="44" t="s">
        <v>11</v>
      </c>
      <c r="Q7" s="111"/>
      <c r="U7" s="323" t="s">
        <v>81</v>
      </c>
      <c r="V7" s="149">
        <v>941</v>
      </c>
      <c r="W7" s="142" t="s">
        <v>269</v>
      </c>
      <c r="X7" s="213">
        <f>C8</f>
        <v>9.3000000000000007</v>
      </c>
      <c r="Y7" s="283">
        <f>SUMPRODUCT((X$7:X$21&gt;X7)/COUNTIF(X$7:X$21,X$7:X$21&amp;""))+1</f>
        <v>1</v>
      </c>
      <c r="Z7" s="213">
        <f>D8</f>
        <v>9.0500000000000007</v>
      </c>
      <c r="AA7" s="283">
        <f>SUMPRODUCT((Z$7:Z$21&gt;Z7)/COUNTIF(Z$7:Z$21,Z$7:Z$21&amp;""))+1</f>
        <v>1</v>
      </c>
      <c r="AB7" s="315">
        <f>Table351213142439111622[[#This Row],[Floor]]+Table351213142439111622[[#This Row],[Vault]]</f>
        <v>18.350000000000001</v>
      </c>
      <c r="AC7" s="283">
        <f>SUMPRODUCT((AB$7:AB$21&gt;AB7)/COUNTIF(AB$7:AB$21,AB$7:AB$21&amp;""))+1</f>
        <v>1</v>
      </c>
    </row>
    <row r="8" spans="1:70">
      <c r="A8" s="149">
        <v>941</v>
      </c>
      <c r="B8" s="42" t="s">
        <v>269</v>
      </c>
      <c r="C8" s="13">
        <v>9.3000000000000007</v>
      </c>
      <c r="D8" s="13">
        <v>9.0500000000000007</v>
      </c>
      <c r="E8" s="13">
        <f>SUM(C8,D8)</f>
        <v>18.350000000000001</v>
      </c>
      <c r="G8" s="149">
        <v>947</v>
      </c>
      <c r="H8" s="42" t="s">
        <v>471</v>
      </c>
      <c r="I8" s="13">
        <v>8.1</v>
      </c>
      <c r="J8" s="13">
        <v>8.3000000000000007</v>
      </c>
      <c r="K8" s="13">
        <f>SUM(I8,J8)</f>
        <v>16.399999999999999</v>
      </c>
      <c r="M8" s="152"/>
      <c r="N8" s="54" t="s">
        <v>13</v>
      </c>
      <c r="O8" s="73">
        <f>E14</f>
        <v>68.599999999999994</v>
      </c>
      <c r="P8" s="40">
        <f>SUMPRODUCT((O$8:O$9&gt;O8)/COUNTIF(O$8:O$9,O$8:O$9&amp;""))+1</f>
        <v>1</v>
      </c>
      <c r="Q8" s="73"/>
      <c r="U8" s="323" t="s">
        <v>81</v>
      </c>
      <c r="V8" s="149">
        <v>942</v>
      </c>
      <c r="W8" s="142" t="s">
        <v>680</v>
      </c>
      <c r="X8" s="213">
        <f t="shared" ref="X8:X12" si="0">C9</f>
        <v>8.3000000000000007</v>
      </c>
      <c r="Y8" s="283">
        <f t="shared" ref="Y8:Y21" si="1">SUMPRODUCT((X$7:X$21&gt;X8)/COUNTIF(X$7:X$21,X$7:X$21&amp;""))+1</f>
        <v>5</v>
      </c>
      <c r="Z8" s="213">
        <f t="shared" ref="Z8:Z12" si="2">D9</f>
        <v>8.8000000000000007</v>
      </c>
      <c r="AA8" s="283">
        <f t="shared" ref="AA8:AA21" si="3">SUMPRODUCT((Z$7:Z$21&gt;Z8)/COUNTIF(Z$7:Z$21,Z$7:Z$21&amp;""))+1</f>
        <v>2</v>
      </c>
      <c r="AB8" s="315">
        <f>Table351213142439111622[[#This Row],[Floor]]+Table351213142439111622[[#This Row],[Vault]]</f>
        <v>17.100000000000001</v>
      </c>
      <c r="AC8" s="283">
        <f t="shared" ref="AC8:AC21" si="4">SUMPRODUCT((AB$7:AB$21&gt;AB8)/COUNTIF(AB$7:AB$21,AB$7:AB$21&amp;""))+1</f>
        <v>5</v>
      </c>
    </row>
    <row r="9" spans="1:70">
      <c r="A9" s="149">
        <v>942</v>
      </c>
      <c r="B9" s="142" t="s">
        <v>680</v>
      </c>
      <c r="C9" s="13">
        <v>8.3000000000000007</v>
      </c>
      <c r="D9" s="13">
        <v>8.8000000000000007</v>
      </c>
      <c r="E9" s="13">
        <f t="shared" ref="E9:E13" si="5">SUM(C9,D9)</f>
        <v>17.100000000000001</v>
      </c>
      <c r="G9" s="149">
        <v>948</v>
      </c>
      <c r="H9" s="142" t="s">
        <v>1133</v>
      </c>
      <c r="I9" s="13">
        <v>8.1999999999999993</v>
      </c>
      <c r="J9" s="13">
        <v>8.4499999999999993</v>
      </c>
      <c r="K9" s="13">
        <f t="shared" ref="K9:K13" si="6">SUM(I9,J9)</f>
        <v>16.649999999999999</v>
      </c>
      <c r="M9" s="152"/>
      <c r="N9" s="45" t="s">
        <v>167</v>
      </c>
      <c r="O9" s="47">
        <f>K14</f>
        <v>67.09999999999998</v>
      </c>
      <c r="P9" s="40">
        <f>SUMPRODUCT((O$8:O$9&gt;O9)/COUNTIF(O$8:O$9,O$8:O$9&amp;""))+1</f>
        <v>2</v>
      </c>
      <c r="Q9" s="73"/>
      <c r="U9" s="323" t="s">
        <v>81</v>
      </c>
      <c r="V9" s="149">
        <v>943</v>
      </c>
      <c r="W9" s="142" t="s">
        <v>681</v>
      </c>
      <c r="X9" s="213">
        <f t="shared" si="0"/>
        <v>7.8</v>
      </c>
      <c r="Y9" s="283">
        <f t="shared" si="1"/>
        <v>8</v>
      </c>
      <c r="Z9" s="213">
        <f t="shared" si="2"/>
        <v>8</v>
      </c>
      <c r="AA9" s="283">
        <f t="shared" si="3"/>
        <v>10</v>
      </c>
      <c r="AB9" s="315">
        <f>Table351213142439111622[[#This Row],[Floor]]+Table351213142439111622[[#This Row],[Vault]]</f>
        <v>15.8</v>
      </c>
      <c r="AC9" s="283">
        <f t="shared" si="4"/>
        <v>12</v>
      </c>
    </row>
    <row r="10" spans="1:70">
      <c r="A10" s="149">
        <v>943</v>
      </c>
      <c r="B10" s="42" t="s">
        <v>681</v>
      </c>
      <c r="C10" s="13">
        <v>7.8</v>
      </c>
      <c r="D10" s="13">
        <v>8</v>
      </c>
      <c r="E10" s="13">
        <f t="shared" si="5"/>
        <v>15.8</v>
      </c>
      <c r="G10" s="149">
        <v>949</v>
      </c>
      <c r="H10" s="42" t="s">
        <v>472</v>
      </c>
      <c r="I10" s="13">
        <v>8.5</v>
      </c>
      <c r="J10" s="13">
        <v>7.95</v>
      </c>
      <c r="K10" s="13">
        <f t="shared" si="6"/>
        <v>16.45</v>
      </c>
      <c r="M10" s="152"/>
      <c r="N10" s="1"/>
      <c r="O10" s="73"/>
      <c r="P10" s="73"/>
      <c r="Q10" s="73"/>
      <c r="U10" s="323" t="s">
        <v>81</v>
      </c>
      <c r="V10" s="149">
        <v>944</v>
      </c>
      <c r="W10" s="142" t="s">
        <v>682</v>
      </c>
      <c r="X10" s="213">
        <f t="shared" si="0"/>
        <v>8.4</v>
      </c>
      <c r="Y10" s="283">
        <f t="shared" si="1"/>
        <v>4</v>
      </c>
      <c r="Z10" s="213">
        <f t="shared" si="2"/>
        <v>8.1999999999999993</v>
      </c>
      <c r="AA10" s="283">
        <f t="shared" si="3"/>
        <v>7</v>
      </c>
      <c r="AB10" s="315">
        <f>Table351213142439111622[[#This Row],[Floor]]+Table351213142439111622[[#This Row],[Vault]]</f>
        <v>16.600000000000001</v>
      </c>
      <c r="AC10" s="283">
        <f t="shared" si="4"/>
        <v>7</v>
      </c>
    </row>
    <row r="11" spans="1:70">
      <c r="A11" s="149">
        <v>944</v>
      </c>
      <c r="B11" s="42" t="s">
        <v>682</v>
      </c>
      <c r="C11" s="13">
        <v>8.4</v>
      </c>
      <c r="D11" s="13">
        <v>8.1999999999999993</v>
      </c>
      <c r="E11" s="13">
        <f t="shared" si="5"/>
        <v>16.600000000000001</v>
      </c>
      <c r="G11" s="149">
        <v>950</v>
      </c>
      <c r="H11" s="42" t="s">
        <v>1134</v>
      </c>
      <c r="I11" s="13">
        <v>7.5</v>
      </c>
      <c r="J11" s="13">
        <v>8.1</v>
      </c>
      <c r="K11" s="13">
        <f t="shared" si="6"/>
        <v>15.6</v>
      </c>
      <c r="M11" s="152"/>
      <c r="N11" s="110"/>
      <c r="O11" s="73"/>
      <c r="P11" s="73"/>
      <c r="Q11" s="73"/>
      <c r="U11" s="323" t="s">
        <v>81</v>
      </c>
      <c r="V11" s="149">
        <v>945</v>
      </c>
      <c r="W11" s="234" t="s">
        <v>683</v>
      </c>
      <c r="X11" s="213">
        <f>C12</f>
        <v>8.4</v>
      </c>
      <c r="Y11" s="283">
        <f t="shared" si="1"/>
        <v>4</v>
      </c>
      <c r="Z11" s="213">
        <f t="shared" si="2"/>
        <v>8.15</v>
      </c>
      <c r="AA11" s="283">
        <f t="shared" si="3"/>
        <v>8</v>
      </c>
      <c r="AB11" s="315">
        <f>Table351213142439111622[[#This Row],[Floor]]+Table351213142439111622[[#This Row],[Vault]]</f>
        <v>16.55</v>
      </c>
      <c r="AC11" s="283">
        <f t="shared" si="4"/>
        <v>8</v>
      </c>
    </row>
    <row r="12" spans="1:70">
      <c r="A12" s="149">
        <v>945</v>
      </c>
      <c r="B12" s="100" t="s">
        <v>683</v>
      </c>
      <c r="C12" s="13">
        <v>8.4</v>
      </c>
      <c r="D12" s="13">
        <v>8.15</v>
      </c>
      <c r="E12" s="13">
        <f t="shared" si="5"/>
        <v>16.55</v>
      </c>
      <c r="G12" s="149">
        <v>951</v>
      </c>
      <c r="H12" s="100" t="s">
        <v>1135</v>
      </c>
      <c r="I12" s="13">
        <v>9.1</v>
      </c>
      <c r="J12" s="13">
        <v>8.15</v>
      </c>
      <c r="K12" s="13">
        <f t="shared" si="6"/>
        <v>17.25</v>
      </c>
      <c r="M12" s="152"/>
      <c r="N12" s="110"/>
      <c r="O12" s="73"/>
      <c r="P12" s="73"/>
      <c r="Q12" s="73"/>
      <c r="U12" s="323" t="s">
        <v>81</v>
      </c>
      <c r="V12" s="149">
        <v>946</v>
      </c>
      <c r="W12" s="234" t="s">
        <v>684</v>
      </c>
      <c r="X12" s="213">
        <f t="shared" si="0"/>
        <v>7.3</v>
      </c>
      <c r="Y12" s="283">
        <f t="shared" si="1"/>
        <v>10</v>
      </c>
      <c r="Z12" s="213">
        <f t="shared" si="2"/>
        <v>8.1</v>
      </c>
      <c r="AA12" s="283">
        <f t="shared" si="3"/>
        <v>9</v>
      </c>
      <c r="AB12" s="315">
        <f>Table351213142439111622[[#This Row],[Floor]]+Table351213142439111622[[#This Row],[Vault]]</f>
        <v>15.399999999999999</v>
      </c>
      <c r="AC12" s="283">
        <f t="shared" si="4"/>
        <v>14</v>
      </c>
    </row>
    <row r="13" spans="1:70" ht="16.5" thickBot="1">
      <c r="A13" s="149">
        <v>946</v>
      </c>
      <c r="B13" s="100" t="s">
        <v>684</v>
      </c>
      <c r="C13" s="13">
        <v>7.3</v>
      </c>
      <c r="D13" s="13">
        <v>8.1</v>
      </c>
      <c r="E13" s="13">
        <f t="shared" si="5"/>
        <v>15.399999999999999</v>
      </c>
      <c r="F13" s="8"/>
      <c r="G13" s="149">
        <v>952</v>
      </c>
      <c r="H13" s="100" t="s">
        <v>473</v>
      </c>
      <c r="I13" s="13">
        <v>8.1999999999999993</v>
      </c>
      <c r="J13" s="13">
        <v>8.1999999999999993</v>
      </c>
      <c r="K13" s="13">
        <f t="shared" si="6"/>
        <v>16.399999999999999</v>
      </c>
      <c r="L13" s="8"/>
      <c r="M13" s="152"/>
      <c r="N13" s="104"/>
      <c r="O13" s="64"/>
      <c r="P13" s="64"/>
      <c r="Q13" s="73"/>
      <c r="U13" s="323" t="s">
        <v>87</v>
      </c>
      <c r="V13" s="149">
        <v>947</v>
      </c>
      <c r="W13" s="142" t="s">
        <v>471</v>
      </c>
      <c r="X13" s="305">
        <f>I8</f>
        <v>8.1</v>
      </c>
      <c r="Y13" s="283">
        <f t="shared" si="1"/>
        <v>7</v>
      </c>
      <c r="Z13" s="305">
        <f>J8</f>
        <v>8.3000000000000007</v>
      </c>
      <c r="AA13" s="283">
        <f t="shared" si="3"/>
        <v>6</v>
      </c>
      <c r="AB13" s="315">
        <f>Table351213142439111622[[#This Row],[Floor]]+Table351213142439111622[[#This Row],[Vault]]</f>
        <v>16.399999999999999</v>
      </c>
      <c r="AC13" s="283">
        <f t="shared" si="4"/>
        <v>10</v>
      </c>
    </row>
    <row r="14" spans="1:70" ht="16.5" thickBot="1">
      <c r="B14" s="25" t="s">
        <v>10</v>
      </c>
      <c r="C14" s="19">
        <f>SUM(C8:C13)-SMALL(C8:C13,1)-SMALL(C8:C13,2)</f>
        <v>34.400000000000006</v>
      </c>
      <c r="D14" s="19">
        <f>SUM(D8:D13)-SMALL(D8:D13,1)-SMALL(D8:D13,2)</f>
        <v>34.199999999999996</v>
      </c>
      <c r="E14" s="20">
        <f>SUM(C14:D14)</f>
        <v>68.599999999999994</v>
      </c>
      <c r="F14" s="8"/>
      <c r="H14" s="25" t="s">
        <v>10</v>
      </c>
      <c r="I14" s="19">
        <f>SUM(I8:I13)-SMALL(I8:I13,1)-SMALL(I8:I13,2)</f>
        <v>33.999999999999993</v>
      </c>
      <c r="J14" s="19">
        <f>SUM(J8:J13)-SMALL(J8:J13,1)-SMALL(J8:J13,2)</f>
        <v>33.099999999999987</v>
      </c>
      <c r="K14" s="20">
        <f>SUM(I14:J14)</f>
        <v>67.09999999999998</v>
      </c>
      <c r="L14" s="8"/>
      <c r="M14" s="1"/>
      <c r="N14" s="121"/>
      <c r="O14" s="1"/>
      <c r="P14" s="104"/>
      <c r="Q14" s="105"/>
      <c r="U14" s="323" t="s">
        <v>87</v>
      </c>
      <c r="V14" s="149">
        <v>948</v>
      </c>
      <c r="W14" s="142" t="s">
        <v>1133</v>
      </c>
      <c r="X14" s="305">
        <f t="shared" ref="X14:X17" si="7">I9</f>
        <v>8.1999999999999993</v>
      </c>
      <c r="Y14" s="283">
        <f t="shared" si="1"/>
        <v>6</v>
      </c>
      <c r="Z14" s="305">
        <f t="shared" ref="Z14:Z18" si="8">J9</f>
        <v>8.4499999999999993</v>
      </c>
      <c r="AA14" s="283">
        <f t="shared" si="3"/>
        <v>5</v>
      </c>
      <c r="AB14" s="315">
        <f>Table351213142439111622[[#This Row],[Floor]]+Table351213142439111622[[#This Row],[Vault]]</f>
        <v>16.649999999999999</v>
      </c>
      <c r="AC14" s="283">
        <f t="shared" si="4"/>
        <v>6</v>
      </c>
    </row>
    <row r="15" spans="1:70">
      <c r="B15" s="94" t="s">
        <v>37</v>
      </c>
      <c r="D15" s="25"/>
      <c r="E15" s="26"/>
      <c r="H15" s="94" t="s">
        <v>37</v>
      </c>
      <c r="J15" s="25"/>
      <c r="K15" s="26"/>
      <c r="M15" s="1"/>
      <c r="N15" s="1"/>
      <c r="O15" s="1"/>
      <c r="P15" s="1"/>
      <c r="Q15" s="115"/>
      <c r="U15" s="323" t="s">
        <v>87</v>
      </c>
      <c r="V15" s="149">
        <v>949</v>
      </c>
      <c r="W15" s="142" t="s">
        <v>472</v>
      </c>
      <c r="X15" s="305">
        <f t="shared" si="7"/>
        <v>8.5</v>
      </c>
      <c r="Y15" s="283">
        <f t="shared" si="1"/>
        <v>3</v>
      </c>
      <c r="Z15" s="305">
        <f t="shared" si="8"/>
        <v>7.95</v>
      </c>
      <c r="AA15" s="283">
        <f t="shared" si="3"/>
        <v>11.000000000000002</v>
      </c>
      <c r="AB15" s="315">
        <f>Table351213142439111622[[#This Row],[Floor]]+Table351213142439111622[[#This Row],[Vault]]</f>
        <v>16.45</v>
      </c>
      <c r="AC15" s="283">
        <f t="shared" si="4"/>
        <v>9</v>
      </c>
    </row>
    <row r="16" spans="1:70">
      <c r="H16" s="94"/>
      <c r="M16" s="1"/>
      <c r="Q16" s="1"/>
      <c r="U16" s="323" t="s">
        <v>87</v>
      </c>
      <c r="V16" s="149">
        <v>950</v>
      </c>
      <c r="W16" s="142" t="s">
        <v>1134</v>
      </c>
      <c r="X16" s="305">
        <f>I11</f>
        <v>7.5</v>
      </c>
      <c r="Y16" s="283">
        <f t="shared" si="1"/>
        <v>9</v>
      </c>
      <c r="Z16" s="305">
        <f t="shared" si="8"/>
        <v>8.1</v>
      </c>
      <c r="AA16" s="283">
        <f t="shared" si="3"/>
        <v>9</v>
      </c>
      <c r="AB16" s="315">
        <f>Table351213142439111622[[#This Row],[Floor]]+Table351213142439111622[[#This Row],[Vault]]</f>
        <v>15.6</v>
      </c>
      <c r="AC16" s="283">
        <f t="shared" si="4"/>
        <v>13</v>
      </c>
    </row>
    <row r="17" spans="1:29">
      <c r="A17" s="233"/>
      <c r="B17" s="233"/>
      <c r="C17" s="233"/>
      <c r="D17" s="233"/>
      <c r="E17" s="233"/>
      <c r="F17" s="106"/>
      <c r="G17" s="86"/>
      <c r="K17" s="86"/>
      <c r="L17" s="106"/>
      <c r="M17" s="86"/>
      <c r="Q17" s="86"/>
      <c r="R17" s="118"/>
      <c r="U17" s="323" t="s">
        <v>87</v>
      </c>
      <c r="V17" s="149">
        <v>951</v>
      </c>
      <c r="W17" s="234" t="s">
        <v>1135</v>
      </c>
      <c r="X17" s="305">
        <f t="shared" si="7"/>
        <v>9.1</v>
      </c>
      <c r="Y17" s="283">
        <f t="shared" si="1"/>
        <v>2</v>
      </c>
      <c r="Z17" s="305">
        <f t="shared" si="8"/>
        <v>8.15</v>
      </c>
      <c r="AA17" s="283">
        <f t="shared" si="3"/>
        <v>8</v>
      </c>
      <c r="AB17" s="315">
        <f>Table351213142439111622[[#This Row],[Floor]]+Table351213142439111622[[#This Row],[Vault]]</f>
        <v>17.25</v>
      </c>
      <c r="AC17" s="283">
        <f t="shared" si="4"/>
        <v>3</v>
      </c>
    </row>
    <row r="18" spans="1:29">
      <c r="A18" s="111"/>
      <c r="B18" s="111"/>
      <c r="C18" s="111"/>
      <c r="D18" s="111"/>
      <c r="E18" s="111"/>
      <c r="F18" s="1"/>
      <c r="G18" s="111"/>
      <c r="K18" s="111"/>
      <c r="L18" s="1"/>
      <c r="U18" s="323" t="s">
        <v>87</v>
      </c>
      <c r="V18" s="149">
        <v>952</v>
      </c>
      <c r="W18" s="234" t="s">
        <v>473</v>
      </c>
      <c r="X18" s="305">
        <f>I13</f>
        <v>8.1999999999999993</v>
      </c>
      <c r="Y18" s="283">
        <f t="shared" si="1"/>
        <v>6</v>
      </c>
      <c r="Z18" s="305">
        <f t="shared" si="8"/>
        <v>8.1999999999999993</v>
      </c>
      <c r="AA18" s="283">
        <f t="shared" si="3"/>
        <v>7</v>
      </c>
      <c r="AB18" s="315">
        <f>Table351213142439111622[[#This Row],[Floor]]+Table351213142439111622[[#This Row],[Vault]]</f>
        <v>16.399999999999999</v>
      </c>
      <c r="AC18" s="283">
        <f t="shared" si="4"/>
        <v>10</v>
      </c>
    </row>
    <row r="19" spans="1:29">
      <c r="A19" s="152"/>
      <c r="B19" s="110"/>
      <c r="C19" s="73"/>
      <c r="D19" s="73"/>
      <c r="E19" s="73"/>
      <c r="F19" s="1"/>
      <c r="G19" s="102"/>
      <c r="K19" s="73"/>
      <c r="L19" s="1"/>
      <c r="U19" s="324" t="s">
        <v>1227</v>
      </c>
      <c r="V19" s="313">
        <v>990</v>
      </c>
      <c r="W19" s="289" t="s">
        <v>520</v>
      </c>
      <c r="X19" s="312">
        <f>'ADV 9&amp;U MX'!D8</f>
        <v>8.5</v>
      </c>
      <c r="Y19" s="283">
        <f t="shared" si="1"/>
        <v>3</v>
      </c>
      <c r="Z19" s="312">
        <f>'ADV 9&amp;U MX'!E8</f>
        <v>8.6999999999999993</v>
      </c>
      <c r="AA19" s="283">
        <f t="shared" si="3"/>
        <v>3</v>
      </c>
      <c r="AB19" s="317">
        <f>Table351213142439111622[[#This Row],[Floor]]+Table351213142439111622[[#This Row],[Vault]]</f>
        <v>17.2</v>
      </c>
      <c r="AC19" s="283">
        <f t="shared" si="4"/>
        <v>4</v>
      </c>
    </row>
    <row r="20" spans="1:29">
      <c r="A20" s="152"/>
      <c r="B20" s="110"/>
      <c r="C20" s="73"/>
      <c r="D20" s="73"/>
      <c r="E20" s="73"/>
      <c r="F20" s="1"/>
      <c r="G20" s="102"/>
      <c r="K20" s="73"/>
      <c r="L20" s="1"/>
      <c r="U20" s="324" t="s">
        <v>1227</v>
      </c>
      <c r="V20" s="313">
        <v>991</v>
      </c>
      <c r="W20" s="289" t="s">
        <v>1230</v>
      </c>
      <c r="X20" s="312">
        <f>'ADV 9&amp;U MX'!D9</f>
        <v>9.3000000000000007</v>
      </c>
      <c r="Y20" s="283">
        <f t="shared" si="1"/>
        <v>1</v>
      </c>
      <c r="Z20" s="312">
        <f>'ADV 9&amp;U MX'!E9</f>
        <v>8.1999999999999993</v>
      </c>
      <c r="AA20" s="283">
        <f t="shared" si="3"/>
        <v>7</v>
      </c>
      <c r="AB20" s="317">
        <f>Table351213142439111622[[#This Row],[Floor]]+Table351213142439111622[[#This Row],[Vault]]</f>
        <v>17.5</v>
      </c>
      <c r="AC20" s="283">
        <f t="shared" si="4"/>
        <v>2</v>
      </c>
    </row>
    <row r="21" spans="1:29">
      <c r="A21" s="1"/>
      <c r="B21" s="1"/>
      <c r="C21" s="1"/>
      <c r="D21" s="1"/>
      <c r="E21" s="1"/>
      <c r="F21" s="1"/>
      <c r="G21" s="102"/>
      <c r="H21" s="103"/>
      <c r="I21" s="73"/>
      <c r="J21" s="73"/>
      <c r="K21" s="73"/>
      <c r="L21" s="1"/>
      <c r="U21" s="324" t="s">
        <v>1227</v>
      </c>
      <c r="V21" s="325">
        <v>992</v>
      </c>
      <c r="W21" s="292" t="s">
        <v>1231</v>
      </c>
      <c r="X21" s="312">
        <f>'ADV 9&amp;U MX'!D10</f>
        <v>7.3</v>
      </c>
      <c r="Y21" s="283">
        <f t="shared" si="1"/>
        <v>10</v>
      </c>
      <c r="Z21" s="312">
        <f>'ADV 9&amp;U MX'!E10</f>
        <v>8.6</v>
      </c>
      <c r="AA21" s="283">
        <f t="shared" si="3"/>
        <v>4</v>
      </c>
      <c r="AB21" s="317">
        <f>Table351213142439111622[[#This Row],[Floor]]+Table351213142439111622[[#This Row],[Vault]]</f>
        <v>15.899999999999999</v>
      </c>
      <c r="AC21" s="283">
        <f t="shared" si="4"/>
        <v>11</v>
      </c>
    </row>
    <row r="22" spans="1:29">
      <c r="F22" s="1"/>
      <c r="G22" s="102"/>
      <c r="H22" s="103"/>
      <c r="I22" s="73"/>
      <c r="J22" s="73"/>
      <c r="K22" s="73"/>
      <c r="L22" s="1"/>
    </row>
    <row r="23" spans="1:29">
      <c r="F23" s="1"/>
      <c r="G23" s="102"/>
      <c r="H23" s="103"/>
      <c r="I23" s="73"/>
      <c r="J23" s="73"/>
      <c r="K23" s="73"/>
      <c r="L23" s="1"/>
    </row>
    <row r="24" spans="1:29">
      <c r="F24" s="1"/>
      <c r="G24" s="102"/>
      <c r="H24" s="103"/>
      <c r="I24" s="73"/>
      <c r="J24" s="73"/>
      <c r="K24" s="68"/>
      <c r="L24" s="1"/>
    </row>
    <row r="25" spans="1:29">
      <c r="F25" s="1"/>
      <c r="G25" s="1"/>
      <c r="H25" s="104"/>
      <c r="I25" s="64"/>
      <c r="J25" s="64"/>
      <c r="K25" s="105"/>
      <c r="L25" s="1"/>
    </row>
    <row r="26" spans="1:29">
      <c r="H26" s="24"/>
      <c r="J26" s="25"/>
      <c r="K26" s="26"/>
    </row>
    <row r="30" spans="1:29">
      <c r="N30" s="45"/>
      <c r="O30" s="47"/>
      <c r="P30" s="40"/>
    </row>
    <row r="31" spans="1:29">
      <c r="N31" s="45"/>
      <c r="O31" s="47"/>
      <c r="P31" s="40"/>
    </row>
    <row r="32" spans="1:29">
      <c r="N32" s="45"/>
      <c r="O32" s="46"/>
      <c r="P32" s="40"/>
    </row>
    <row r="33" spans="2:20">
      <c r="N33" s="45"/>
      <c r="O33" s="46"/>
      <c r="P33" s="40"/>
    </row>
    <row r="34" spans="2:20">
      <c r="N34" s="45"/>
      <c r="O34" s="46"/>
      <c r="P34" s="40"/>
      <c r="Q34" s="41"/>
      <c r="R34" s="41"/>
      <c r="S34" s="41"/>
      <c r="T34" s="41"/>
    </row>
    <row r="35" spans="2:20">
      <c r="N35" s="45"/>
      <c r="O35" s="46"/>
      <c r="P35" s="40"/>
      <c r="Q35" s="41"/>
      <c r="R35" s="41"/>
      <c r="S35" s="41"/>
      <c r="T35" s="41"/>
    </row>
    <row r="36" spans="2:20">
      <c r="Q36" s="41"/>
      <c r="R36" s="41"/>
      <c r="S36" s="41"/>
      <c r="T36" s="41"/>
    </row>
    <row r="37" spans="2:20">
      <c r="B37" s="24"/>
      <c r="D37" s="25"/>
      <c r="E37" s="26"/>
      <c r="Q37" s="41"/>
      <c r="R37" s="41"/>
      <c r="S37" s="41"/>
      <c r="T37" s="41"/>
    </row>
    <row r="38" spans="2:20">
      <c r="Q38" s="41"/>
      <c r="R38" s="41"/>
      <c r="S38" s="41"/>
      <c r="T38" s="41"/>
    </row>
  </sheetData>
  <mergeCells count="3">
    <mergeCell ref="A1:AC1"/>
    <mergeCell ref="A2:AC2"/>
    <mergeCell ref="G4:I4"/>
  </mergeCells>
  <phoneticPr fontId="21" type="noConversion"/>
  <conditionalFormatting sqref="Y7:Y21">
    <cfRule type="cellIs" dxfId="555" priority="10" operator="equal">
      <formula>3</formula>
    </cfRule>
    <cfRule type="cellIs" dxfId="554" priority="11" operator="equal">
      <formula>2</formula>
    </cfRule>
    <cfRule type="cellIs" dxfId="553" priority="12" operator="equal">
      <formula>1</formula>
    </cfRule>
  </conditionalFormatting>
  <conditionalFormatting sqref="AA7:AA21">
    <cfRule type="cellIs" dxfId="552" priority="7" operator="equal">
      <formula>3</formula>
    </cfRule>
    <cfRule type="cellIs" dxfId="551" priority="8" operator="equal">
      <formula>2</formula>
    </cfRule>
    <cfRule type="cellIs" dxfId="550" priority="9" operator="equal">
      <formula>1</formula>
    </cfRule>
  </conditionalFormatting>
  <conditionalFormatting sqref="AC7:AC21">
    <cfRule type="cellIs" dxfId="549" priority="4" operator="equal">
      <formula>3</formula>
    </cfRule>
    <cfRule type="cellIs" dxfId="548" priority="5" operator="equal">
      <formula>2</formula>
    </cfRule>
    <cfRule type="cellIs" dxfId="547" priority="6" operator="equal">
      <formula>1</formula>
    </cfRule>
  </conditionalFormatting>
  <conditionalFormatting sqref="P8:P9">
    <cfRule type="cellIs" dxfId="546" priority="1" operator="equal">
      <formula>3</formula>
    </cfRule>
    <cfRule type="cellIs" dxfId="545" priority="2" operator="equal">
      <formula>2</formula>
    </cfRule>
    <cfRule type="cellIs" dxfId="544" priority="3" operator="equal">
      <formula>1</formula>
    </cfRule>
  </conditionalFormatting>
  <pageMargins left="0.75" right="0.75" top="1" bottom="1" header="0.5" footer="0.5"/>
  <pageSetup paperSize="9" scale="56" orientation="landscape" horizontalDpi="4294967292" verticalDpi="4294967292"/>
  <colBreaks count="1" manualBreakCount="1">
    <brk id="29" max="1048575" man="1"/>
  </colBreaks>
  <ignoredErrors>
    <ignoredError sqref="Z7:Z21" formula="1"/>
  </ignoredErrors>
  <tableParts count="2">
    <tablePart r:id="rId1"/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J81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4.875" customWidth="1"/>
    <col min="2" max="2" width="19.125" bestFit="1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125" customWidth="1"/>
    <col min="22" max="22" width="5.5" customWidth="1"/>
    <col min="23" max="23" width="20.875" bestFit="1" customWidth="1"/>
    <col min="24" max="24" width="8.875" customWidth="1"/>
    <col min="25" max="25" width="5" style="53" customWidth="1"/>
    <col min="26" max="26" width="9.375" customWidth="1"/>
    <col min="27" max="27" width="4.5" style="57" customWidth="1"/>
    <col min="28" max="28" width="9.375" style="39" customWidth="1"/>
    <col min="29" max="29" width="5.5" style="60" customWidth="1"/>
  </cols>
  <sheetData>
    <row r="1" spans="1:62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62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0"/>
      <c r="BJ2" s="90"/>
    </row>
    <row r="3" spans="1:62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">
      <c r="A4" s="8"/>
      <c r="E4" s="1"/>
      <c r="F4" s="1"/>
      <c r="G4" s="464" t="s">
        <v>125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>
      <c r="G5" s="8"/>
    </row>
    <row r="6" spans="1:62" s="8" customFormat="1">
      <c r="A6" s="285" t="s">
        <v>85</v>
      </c>
      <c r="B6" s="130"/>
      <c r="C6" s="130"/>
      <c r="D6" s="130"/>
      <c r="E6" s="131"/>
      <c r="G6" s="285" t="s">
        <v>319</v>
      </c>
      <c r="H6" s="156"/>
      <c r="I6" s="156"/>
      <c r="J6" s="156"/>
      <c r="K6" s="157"/>
      <c r="L6" s="106"/>
      <c r="M6" s="285" t="s">
        <v>388</v>
      </c>
      <c r="N6" s="156"/>
      <c r="O6" s="156"/>
      <c r="P6" s="156"/>
      <c r="Q6" s="157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62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L7" s="1"/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16" t="s">
        <v>706</v>
      </c>
      <c r="V7" s="149">
        <v>955</v>
      </c>
      <c r="W7" s="93" t="s">
        <v>712</v>
      </c>
      <c r="X7" s="14">
        <f>C8</f>
        <v>8.8000000000000007</v>
      </c>
      <c r="Y7" s="283">
        <f>SUMPRODUCT((X$7:X$38&gt;X7)/COUNTIF(X$7:X$38,X$7:X$38&amp;""))+1</f>
        <v>7.0000000000000009</v>
      </c>
      <c r="Z7" s="14">
        <f>D8</f>
        <v>8.3000000000000007</v>
      </c>
      <c r="AA7" s="283">
        <f>SUMPRODUCT((Z$7:Z$38&gt;Z7)/COUNTIF(Z$7:Z$38,Z$7:Z$38&amp;""))+1</f>
        <v>10</v>
      </c>
      <c r="AB7" s="69">
        <f>Table3515505713182956[[#This Row],[Floor4]]+Table3515505713182956[[#This Row],[Vault6]]</f>
        <v>17.100000000000001</v>
      </c>
      <c r="AC7" s="283">
        <f>SUMPRODUCT((AB$7:AB$38&gt;AB7)/COUNTIF(AB$7:AB$38,AB$7:AB$38&amp;""))+1</f>
        <v>13</v>
      </c>
    </row>
    <row r="8" spans="1:62">
      <c r="A8" s="149">
        <v>955</v>
      </c>
      <c r="B8" s="93" t="s">
        <v>712</v>
      </c>
      <c r="C8" s="13">
        <v>8.8000000000000007</v>
      </c>
      <c r="D8" s="13">
        <v>8.3000000000000007</v>
      </c>
      <c r="E8" s="13">
        <f>SUM(C8,D8)</f>
        <v>17.100000000000001</v>
      </c>
      <c r="G8" s="149">
        <v>961</v>
      </c>
      <c r="H8" s="93" t="s">
        <v>323</v>
      </c>
      <c r="I8" s="13">
        <v>9.5</v>
      </c>
      <c r="J8" s="13">
        <v>8</v>
      </c>
      <c r="K8" s="13">
        <f>SUM(I8,J8)</f>
        <v>17.5</v>
      </c>
      <c r="L8" s="1"/>
      <c r="M8" s="149">
        <v>967</v>
      </c>
      <c r="N8" s="93" t="s">
        <v>1005</v>
      </c>
      <c r="O8" s="13">
        <v>9</v>
      </c>
      <c r="P8" s="13">
        <v>7.6</v>
      </c>
      <c r="Q8" s="13">
        <f>SUM(O8,P8)</f>
        <v>16.600000000000001</v>
      </c>
      <c r="U8" s="16" t="s">
        <v>706</v>
      </c>
      <c r="V8" s="149">
        <v>956</v>
      </c>
      <c r="W8" s="93" t="s">
        <v>713</v>
      </c>
      <c r="X8" s="14">
        <f t="shared" ref="X8:X11" si="0">C9</f>
        <v>8.1</v>
      </c>
      <c r="Y8" s="283">
        <f t="shared" ref="Y8:Y38" si="1">SUMPRODUCT((X$7:X$38&gt;X8)/COUNTIF(X$7:X$38,X$7:X$38&amp;""))+1</f>
        <v>12.999999999999996</v>
      </c>
      <c r="Z8" s="14">
        <f t="shared" ref="Z8:Z10" si="2">D9</f>
        <v>8.0500000000000007</v>
      </c>
      <c r="AA8" s="283">
        <f t="shared" ref="AA8:AA38" si="3">SUMPRODUCT((Z$7:Z$38&gt;Z8)/COUNTIF(Z$7:Z$38,Z$7:Z$38&amp;""))+1</f>
        <v>15.000000000000002</v>
      </c>
      <c r="AB8" s="69">
        <f>Table3515505713182956[[#This Row],[Floor4]]+Table3515505713182956[[#This Row],[Vault6]]</f>
        <v>16.149999999999999</v>
      </c>
      <c r="AC8" s="283">
        <f t="shared" ref="AC8:AC38" si="4">SUMPRODUCT((AB$7:AB$38&gt;AB8)/COUNTIF(AB$7:AB$38,AB$7:AB$38&amp;""))+1</f>
        <v>22.999999999999996</v>
      </c>
    </row>
    <row r="9" spans="1:62">
      <c r="A9" s="149">
        <v>956</v>
      </c>
      <c r="B9" s="93" t="s">
        <v>713</v>
      </c>
      <c r="C9" s="13">
        <v>8.1</v>
      </c>
      <c r="D9" s="13">
        <v>8.0500000000000007</v>
      </c>
      <c r="E9" s="13">
        <f t="shared" ref="E9:E13" si="5">SUM(C9,D9)</f>
        <v>16.149999999999999</v>
      </c>
      <c r="G9" s="149">
        <v>962</v>
      </c>
      <c r="H9" s="93" t="s">
        <v>322</v>
      </c>
      <c r="I9" s="13">
        <v>9.1999999999999993</v>
      </c>
      <c r="J9" s="13">
        <v>8.4</v>
      </c>
      <c r="K9" s="13">
        <f t="shared" ref="K9:K13" si="6">SUM(I9,J9)</f>
        <v>17.600000000000001</v>
      </c>
      <c r="L9" s="1"/>
      <c r="M9" s="149">
        <v>968</v>
      </c>
      <c r="N9" s="93" t="s">
        <v>1006</v>
      </c>
      <c r="O9" s="13">
        <v>8.5</v>
      </c>
      <c r="P9" s="13">
        <v>6.85</v>
      </c>
      <c r="Q9" s="13">
        <f t="shared" ref="Q9:Q13" si="7">SUM(O9,P9)</f>
        <v>15.35</v>
      </c>
      <c r="U9" s="16" t="s">
        <v>706</v>
      </c>
      <c r="V9" s="149">
        <v>957</v>
      </c>
      <c r="W9" s="93" t="s">
        <v>714</v>
      </c>
      <c r="X9" s="14">
        <f t="shared" si="0"/>
        <v>8.6</v>
      </c>
      <c r="Y9" s="283">
        <f t="shared" si="1"/>
        <v>9</v>
      </c>
      <c r="Z9" s="14">
        <f t="shared" si="2"/>
        <v>8.4</v>
      </c>
      <c r="AA9" s="283">
        <f t="shared" si="3"/>
        <v>8</v>
      </c>
      <c r="AB9" s="69">
        <f>Table3515505713182956[[#This Row],[Floor4]]+Table3515505713182956[[#This Row],[Vault6]]</f>
        <v>17</v>
      </c>
      <c r="AC9" s="283">
        <f t="shared" si="4"/>
        <v>15</v>
      </c>
    </row>
    <row r="10" spans="1:62">
      <c r="A10" s="149">
        <v>957</v>
      </c>
      <c r="B10" s="93" t="s">
        <v>714</v>
      </c>
      <c r="C10" s="13">
        <v>8.6</v>
      </c>
      <c r="D10" s="13">
        <v>8.4</v>
      </c>
      <c r="E10" s="13">
        <f t="shared" si="5"/>
        <v>17</v>
      </c>
      <c r="G10" s="149">
        <v>963</v>
      </c>
      <c r="H10" s="93" t="s">
        <v>797</v>
      </c>
      <c r="I10" s="13">
        <v>9.1</v>
      </c>
      <c r="J10" s="13">
        <v>8.15</v>
      </c>
      <c r="K10" s="13">
        <f t="shared" si="6"/>
        <v>17.25</v>
      </c>
      <c r="L10" s="1"/>
      <c r="M10" s="149">
        <v>969</v>
      </c>
      <c r="N10" s="93" t="s">
        <v>445</v>
      </c>
      <c r="O10" s="13">
        <v>8.6999999999999993</v>
      </c>
      <c r="P10" s="13">
        <v>8.8000000000000007</v>
      </c>
      <c r="Q10" s="13">
        <f t="shared" si="7"/>
        <v>17.5</v>
      </c>
      <c r="U10" s="16" t="s">
        <v>706</v>
      </c>
      <c r="V10" s="149">
        <v>958</v>
      </c>
      <c r="W10" s="93" t="s">
        <v>715</v>
      </c>
      <c r="X10" s="14">
        <f>C11</f>
        <v>8.5</v>
      </c>
      <c r="Y10" s="283">
        <f t="shared" si="1"/>
        <v>10.000000000000002</v>
      </c>
      <c r="Z10" s="14">
        <f t="shared" si="2"/>
        <v>8.1999999999999993</v>
      </c>
      <c r="AA10" s="283">
        <f t="shared" si="3"/>
        <v>12</v>
      </c>
      <c r="AB10" s="69">
        <f>Table3515505713182956[[#This Row],[Floor4]]+Table3515505713182956[[#This Row],[Vault6]]</f>
        <v>16.7</v>
      </c>
      <c r="AC10" s="283">
        <f t="shared" si="4"/>
        <v>19</v>
      </c>
    </row>
    <row r="11" spans="1:62">
      <c r="A11" s="149">
        <v>958</v>
      </c>
      <c r="B11" s="93" t="s">
        <v>715</v>
      </c>
      <c r="C11" s="13">
        <v>8.5</v>
      </c>
      <c r="D11" s="13">
        <v>8.1999999999999993</v>
      </c>
      <c r="E11" s="13">
        <f t="shared" si="5"/>
        <v>16.7</v>
      </c>
      <c r="G11" s="149">
        <v>964</v>
      </c>
      <c r="H11" s="93" t="s">
        <v>321</v>
      </c>
      <c r="I11" s="13">
        <v>9.1</v>
      </c>
      <c r="J11" s="13">
        <v>7.8</v>
      </c>
      <c r="K11" s="13">
        <f t="shared" si="6"/>
        <v>16.899999999999999</v>
      </c>
      <c r="L11" s="1"/>
      <c r="M11" s="149">
        <v>970</v>
      </c>
      <c r="N11" s="93" t="s">
        <v>448</v>
      </c>
      <c r="O11" s="13">
        <v>8.6</v>
      </c>
      <c r="P11" s="13">
        <v>8.1999999999999993</v>
      </c>
      <c r="Q11" s="13">
        <f t="shared" si="7"/>
        <v>16.799999999999997</v>
      </c>
      <c r="U11" s="16" t="s">
        <v>706</v>
      </c>
      <c r="V11" s="149">
        <v>959</v>
      </c>
      <c r="W11" s="93" t="s">
        <v>716</v>
      </c>
      <c r="X11" s="14">
        <f t="shared" si="0"/>
        <v>7.9</v>
      </c>
      <c r="Y11" s="283">
        <f t="shared" si="1"/>
        <v>13.999999999999996</v>
      </c>
      <c r="Z11" s="14">
        <f>D12</f>
        <v>8.35</v>
      </c>
      <c r="AA11" s="283">
        <f t="shared" si="3"/>
        <v>9</v>
      </c>
      <c r="AB11" s="69">
        <f>Table3515505713182956[[#This Row],[Floor4]]+Table3515505713182956[[#This Row],[Vault6]]</f>
        <v>16.25</v>
      </c>
      <c r="AC11" s="283">
        <f t="shared" si="4"/>
        <v>20.999999999999996</v>
      </c>
    </row>
    <row r="12" spans="1:62">
      <c r="A12" s="149">
        <v>959</v>
      </c>
      <c r="B12" s="93" t="s">
        <v>716</v>
      </c>
      <c r="C12" s="13">
        <v>7.9</v>
      </c>
      <c r="D12" s="13">
        <v>8.35</v>
      </c>
      <c r="E12" s="13">
        <f t="shared" si="5"/>
        <v>16.25</v>
      </c>
      <c r="G12" s="149">
        <v>965</v>
      </c>
      <c r="H12" s="100" t="s">
        <v>320</v>
      </c>
      <c r="I12" s="13">
        <v>8.8000000000000007</v>
      </c>
      <c r="J12" s="13">
        <v>8.25</v>
      </c>
      <c r="K12" s="13">
        <f t="shared" si="6"/>
        <v>17.05</v>
      </c>
      <c r="L12" s="1"/>
      <c r="M12" s="149">
        <v>971</v>
      </c>
      <c r="N12" s="100" t="s">
        <v>1007</v>
      </c>
      <c r="O12" s="13">
        <v>9.3000000000000007</v>
      </c>
      <c r="P12" s="13">
        <v>8.1</v>
      </c>
      <c r="Q12" s="13">
        <f t="shared" si="7"/>
        <v>17.399999999999999</v>
      </c>
      <c r="U12" s="16" t="s">
        <v>799</v>
      </c>
      <c r="V12" s="149">
        <v>961</v>
      </c>
      <c r="W12" s="93" t="s">
        <v>323</v>
      </c>
      <c r="X12" s="14">
        <f>I8</f>
        <v>9.5</v>
      </c>
      <c r="Y12" s="283">
        <f t="shared" si="1"/>
        <v>1</v>
      </c>
      <c r="Z12" s="14">
        <f>J8</f>
        <v>8</v>
      </c>
      <c r="AA12" s="283">
        <f t="shared" si="3"/>
        <v>16</v>
      </c>
      <c r="AB12" s="69">
        <f>Table3515505713182956[[#This Row],[Floor4]]+Table3515505713182956[[#This Row],[Vault6]]</f>
        <v>17.5</v>
      </c>
      <c r="AC12" s="283">
        <f t="shared" si="4"/>
        <v>7</v>
      </c>
    </row>
    <row r="13" spans="1:62" ht="16.5" thickBot="1">
      <c r="A13" s="149">
        <v>960</v>
      </c>
      <c r="B13" s="97"/>
      <c r="C13" s="13">
        <v>0</v>
      </c>
      <c r="D13" s="13">
        <v>0</v>
      </c>
      <c r="E13" s="13">
        <f t="shared" si="5"/>
        <v>0</v>
      </c>
      <c r="F13" s="8"/>
      <c r="G13" s="149">
        <v>966</v>
      </c>
      <c r="H13" s="100" t="s">
        <v>798</v>
      </c>
      <c r="I13" s="13">
        <v>8.1999999999999993</v>
      </c>
      <c r="J13" s="13">
        <v>7.95</v>
      </c>
      <c r="K13" s="13">
        <f t="shared" si="6"/>
        <v>16.149999999999999</v>
      </c>
      <c r="L13" s="106"/>
      <c r="M13" s="149">
        <v>972</v>
      </c>
      <c r="N13" s="100" t="s">
        <v>1008</v>
      </c>
      <c r="O13" s="13">
        <v>8.8000000000000007</v>
      </c>
      <c r="P13" s="13">
        <v>8.3000000000000007</v>
      </c>
      <c r="Q13" s="13">
        <f t="shared" si="7"/>
        <v>17.100000000000001</v>
      </c>
      <c r="U13" s="16" t="s">
        <v>799</v>
      </c>
      <c r="V13" s="149">
        <v>962</v>
      </c>
      <c r="W13" s="93" t="s">
        <v>322</v>
      </c>
      <c r="X13" s="14">
        <f t="shared" ref="X13:X15" si="8">I9</f>
        <v>9.1999999999999993</v>
      </c>
      <c r="Y13" s="283">
        <f t="shared" si="1"/>
        <v>3</v>
      </c>
      <c r="Z13" s="14">
        <f t="shared" ref="Z13:Z16" si="9">J9</f>
        <v>8.4</v>
      </c>
      <c r="AA13" s="283">
        <f t="shared" si="3"/>
        <v>8</v>
      </c>
      <c r="AB13" s="69">
        <f>Table3515505713182956[[#This Row],[Floor4]]+Table3515505713182956[[#This Row],[Vault6]]</f>
        <v>17.600000000000001</v>
      </c>
      <c r="AC13" s="283">
        <f t="shared" si="4"/>
        <v>6</v>
      </c>
    </row>
    <row r="14" spans="1:62" ht="16.5" thickBot="1">
      <c r="B14" s="25" t="s">
        <v>10</v>
      </c>
      <c r="C14" s="19">
        <f>SUM(C8:C13)-SMALL(C8:C13,1)-SMALL(C8:C13,2)</f>
        <v>34</v>
      </c>
      <c r="D14" s="19">
        <f>SUM(D8:D13)-SMALL(D8:D13,1)-SMALL(D8:D13,2)</f>
        <v>33.25</v>
      </c>
      <c r="E14" s="20">
        <f>SUM(C14:D14)</f>
        <v>67.25</v>
      </c>
      <c r="F14" s="8"/>
      <c r="H14" s="25" t="s">
        <v>10</v>
      </c>
      <c r="I14" s="19">
        <f>SUM(I8:I13)-SMALL(I8:I13,1)-SMALL(I8:I13,2)</f>
        <v>36.900000000000006</v>
      </c>
      <c r="J14" s="19">
        <f>SUM(J8:J13)-SMALL(J8:J13,1)-SMALL(J8:J13,2)</f>
        <v>32.799999999999997</v>
      </c>
      <c r="K14" s="20">
        <f>SUM(I14:J14)</f>
        <v>69.7</v>
      </c>
      <c r="L14" s="106"/>
      <c r="N14" s="25" t="s">
        <v>10</v>
      </c>
      <c r="O14" s="19">
        <f>SUM(O8:O13)-SMALL(O8:O13,1)-SMALL(O8:O13,2)</f>
        <v>35.79999999999999</v>
      </c>
      <c r="P14" s="19">
        <f>SUM(P8:P13)-SMALL(P8:P13,1)-SMALL(P8:P13,2)</f>
        <v>33.399999999999991</v>
      </c>
      <c r="Q14" s="20">
        <f>SUM(O14:P14)</f>
        <v>69.199999999999989</v>
      </c>
      <c r="U14" s="16" t="s">
        <v>799</v>
      </c>
      <c r="V14" s="149">
        <v>963</v>
      </c>
      <c r="W14" s="93" t="s">
        <v>797</v>
      </c>
      <c r="X14" s="14">
        <f t="shared" si="8"/>
        <v>9.1</v>
      </c>
      <c r="Y14" s="283">
        <f t="shared" si="1"/>
        <v>4</v>
      </c>
      <c r="Z14" s="14">
        <f t="shared" si="9"/>
        <v>8.15</v>
      </c>
      <c r="AA14" s="283">
        <f t="shared" si="3"/>
        <v>13</v>
      </c>
      <c r="AB14" s="69">
        <f>Table3515505713182956[[#This Row],[Floor4]]+Table3515505713182956[[#This Row],[Vault6]]</f>
        <v>17.25</v>
      </c>
      <c r="AC14" s="283">
        <f t="shared" si="4"/>
        <v>10</v>
      </c>
    </row>
    <row r="15" spans="1:62">
      <c r="B15" s="94" t="s">
        <v>37</v>
      </c>
      <c r="D15" s="25"/>
      <c r="E15" s="26"/>
      <c r="H15" s="94" t="s">
        <v>37</v>
      </c>
      <c r="J15" s="25"/>
      <c r="K15" s="26"/>
      <c r="L15" s="1"/>
      <c r="N15" s="94" t="s">
        <v>37</v>
      </c>
      <c r="P15" s="25"/>
      <c r="Q15" s="26"/>
      <c r="U15" s="16" t="s">
        <v>799</v>
      </c>
      <c r="V15" s="149">
        <v>964</v>
      </c>
      <c r="W15" s="93" t="s">
        <v>321</v>
      </c>
      <c r="X15" s="14">
        <f t="shared" si="8"/>
        <v>9.1</v>
      </c>
      <c r="Y15" s="283">
        <f t="shared" si="1"/>
        <v>4</v>
      </c>
      <c r="Z15" s="14">
        <f>J11</f>
        <v>7.8</v>
      </c>
      <c r="AA15" s="283">
        <f t="shared" si="3"/>
        <v>20</v>
      </c>
      <c r="AB15" s="69">
        <f>Table3515505713182956[[#This Row],[Floor4]]+Table3515505713182956[[#This Row],[Vault6]]</f>
        <v>16.899999999999999</v>
      </c>
      <c r="AC15" s="283">
        <f t="shared" si="4"/>
        <v>16</v>
      </c>
    </row>
    <row r="16" spans="1:6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0"/>
      <c r="O16" s="73"/>
      <c r="P16" s="73"/>
      <c r="Q16" s="1"/>
      <c r="U16" s="16" t="s">
        <v>799</v>
      </c>
      <c r="V16" s="149">
        <v>965</v>
      </c>
      <c r="W16" s="100" t="s">
        <v>320</v>
      </c>
      <c r="X16" s="14">
        <f>I12</f>
        <v>8.8000000000000007</v>
      </c>
      <c r="Y16" s="283">
        <f t="shared" si="1"/>
        <v>7.0000000000000009</v>
      </c>
      <c r="Z16" s="14">
        <f t="shared" si="9"/>
        <v>8.25</v>
      </c>
      <c r="AA16" s="283">
        <f t="shared" si="3"/>
        <v>11</v>
      </c>
      <c r="AB16" s="69">
        <f>Table3515505713182956[[#This Row],[Floor4]]+Table3515505713182956[[#This Row],[Vault6]]</f>
        <v>17.05</v>
      </c>
      <c r="AC16" s="283">
        <f t="shared" si="4"/>
        <v>14</v>
      </c>
    </row>
    <row r="17" spans="1:29">
      <c r="A17" s="285" t="s">
        <v>168</v>
      </c>
      <c r="B17" s="159"/>
      <c r="C17" s="159"/>
      <c r="D17" s="159"/>
      <c r="E17" s="160"/>
      <c r="F17" s="106"/>
      <c r="G17" s="285" t="s">
        <v>511</v>
      </c>
      <c r="H17" s="156"/>
      <c r="I17" s="156"/>
      <c r="J17" s="156"/>
      <c r="K17" s="157"/>
      <c r="L17" s="106"/>
      <c r="M17" s="175"/>
      <c r="N17" s="39" t="s">
        <v>12</v>
      </c>
      <c r="O17" s="43" t="s">
        <v>5</v>
      </c>
      <c r="P17" s="44" t="s">
        <v>11</v>
      </c>
      <c r="Q17" s="175"/>
      <c r="U17" s="16" t="s">
        <v>799</v>
      </c>
      <c r="V17" s="149">
        <v>966</v>
      </c>
      <c r="W17" s="100" t="s">
        <v>798</v>
      </c>
      <c r="X17" s="14">
        <f>I13</f>
        <v>8.1999999999999993</v>
      </c>
      <c r="Y17" s="283">
        <f t="shared" si="1"/>
        <v>11.999999999999998</v>
      </c>
      <c r="Z17" s="14">
        <f>J13</f>
        <v>7.95</v>
      </c>
      <c r="AA17" s="283">
        <f t="shared" si="3"/>
        <v>17</v>
      </c>
      <c r="AB17" s="69">
        <f>Table3515505713182956[[#This Row],[Floor4]]+Table3515505713182956[[#This Row],[Vault6]]</f>
        <v>16.149999999999999</v>
      </c>
      <c r="AC17" s="283">
        <f t="shared" si="4"/>
        <v>22.999999999999996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1"/>
      <c r="G18" s="9" t="s">
        <v>1</v>
      </c>
      <c r="H18" s="9" t="s">
        <v>2</v>
      </c>
      <c r="I18" s="9" t="s">
        <v>3</v>
      </c>
      <c r="J18" s="9" t="s">
        <v>4</v>
      </c>
      <c r="K18" s="9" t="s">
        <v>5</v>
      </c>
      <c r="L18" s="1"/>
      <c r="M18" s="111"/>
      <c r="N18" s="7" t="s">
        <v>1288</v>
      </c>
      <c r="O18" s="46">
        <f>E14</f>
        <v>67.25</v>
      </c>
      <c r="P18" s="40">
        <f>SUMPRODUCT((O$18:O$22&gt;O18)/COUNTIF(O$18:O$22,O$18:O$22&amp;""))+1</f>
        <v>5</v>
      </c>
      <c r="Q18" s="111"/>
      <c r="U18" s="16" t="s">
        <v>391</v>
      </c>
      <c r="V18" s="149">
        <v>967</v>
      </c>
      <c r="W18" s="93" t="s">
        <v>1005</v>
      </c>
      <c r="X18" s="14">
        <f>O8</f>
        <v>9</v>
      </c>
      <c r="Y18" s="283">
        <f t="shared" si="1"/>
        <v>5.0000000000000009</v>
      </c>
      <c r="Z18" s="14">
        <f>P8</f>
        <v>7.6</v>
      </c>
      <c r="AA18" s="283">
        <f t="shared" si="3"/>
        <v>21</v>
      </c>
      <c r="AB18" s="69">
        <f>Table3515505713182956[[#This Row],[Floor4]]+Table3515505713182956[[#This Row],[Vault6]]</f>
        <v>16.600000000000001</v>
      </c>
      <c r="AC18" s="283">
        <f t="shared" si="4"/>
        <v>19.999999999999996</v>
      </c>
    </row>
    <row r="19" spans="1:29">
      <c r="A19" s="149">
        <v>973</v>
      </c>
      <c r="B19" s="93" t="s">
        <v>481</v>
      </c>
      <c r="C19" s="13">
        <v>8.9</v>
      </c>
      <c r="D19" s="13">
        <v>7.85</v>
      </c>
      <c r="E19" s="13">
        <f>SUM(C19,D19)</f>
        <v>16.75</v>
      </c>
      <c r="F19" s="1"/>
      <c r="G19" s="149">
        <v>979</v>
      </c>
      <c r="H19" s="93" t="s">
        <v>523</v>
      </c>
      <c r="I19" s="13">
        <v>8.9</v>
      </c>
      <c r="J19" s="13">
        <v>8.1</v>
      </c>
      <c r="K19" s="13">
        <f>SUM(I19,J19)</f>
        <v>17</v>
      </c>
      <c r="L19" s="1"/>
      <c r="M19" s="152"/>
      <c r="N19" s="45" t="s">
        <v>542</v>
      </c>
      <c r="O19" s="73">
        <f>K14</f>
        <v>69.7</v>
      </c>
      <c r="P19" s="40">
        <f t="shared" ref="P19:P22" si="10">SUMPRODUCT((O$18:O$22&gt;O19)/COUNTIF(O$18:O$22,O$18:O$22&amp;""))+1</f>
        <v>2</v>
      </c>
      <c r="Q19" s="73"/>
      <c r="U19" s="16" t="s">
        <v>391</v>
      </c>
      <c r="V19" s="149">
        <v>968</v>
      </c>
      <c r="W19" s="93" t="s">
        <v>1006</v>
      </c>
      <c r="X19" s="14">
        <f t="shared" ref="X19:X22" si="11">O9</f>
        <v>8.5</v>
      </c>
      <c r="Y19" s="283">
        <f t="shared" si="1"/>
        <v>10.000000000000002</v>
      </c>
      <c r="Z19" s="14">
        <f t="shared" ref="Z19:Z21" si="12">P9</f>
        <v>6.85</v>
      </c>
      <c r="AA19" s="283">
        <f t="shared" si="3"/>
        <v>22</v>
      </c>
      <c r="AB19" s="69">
        <f>Table3515505713182956[[#This Row],[Floor4]]+Table3515505713182956[[#This Row],[Vault6]]</f>
        <v>15.35</v>
      </c>
      <c r="AC19" s="283">
        <f t="shared" si="4"/>
        <v>23.999999999999996</v>
      </c>
    </row>
    <row r="20" spans="1:29">
      <c r="A20" s="149">
        <v>974</v>
      </c>
      <c r="B20" s="93" t="s">
        <v>480</v>
      </c>
      <c r="C20" s="13">
        <v>8.5</v>
      </c>
      <c r="D20" s="13">
        <v>8.1999999999999993</v>
      </c>
      <c r="E20" s="13">
        <f t="shared" ref="E20:E24" si="13">SUM(C20,D20)</f>
        <v>16.7</v>
      </c>
      <c r="F20" s="1"/>
      <c r="G20" s="149">
        <v>980</v>
      </c>
      <c r="H20" s="93" t="s">
        <v>524</v>
      </c>
      <c r="I20" s="13">
        <v>9.1999999999999993</v>
      </c>
      <c r="J20" s="13">
        <v>8.6999999999999993</v>
      </c>
      <c r="K20" s="13">
        <f t="shared" ref="K20:K24" si="14">SUM(I20,J20)</f>
        <v>17.899999999999999</v>
      </c>
      <c r="L20" s="1"/>
      <c r="M20" s="152"/>
      <c r="N20" s="45" t="s">
        <v>541</v>
      </c>
      <c r="O20" s="47">
        <f>Q14</f>
        <v>69.199999999999989</v>
      </c>
      <c r="P20" s="40">
        <f t="shared" si="10"/>
        <v>4</v>
      </c>
      <c r="Q20" s="73"/>
      <c r="U20" s="16" t="s">
        <v>391</v>
      </c>
      <c r="V20" s="149">
        <v>969</v>
      </c>
      <c r="W20" s="93" t="s">
        <v>445</v>
      </c>
      <c r="X20" s="14">
        <f t="shared" si="11"/>
        <v>8.6999999999999993</v>
      </c>
      <c r="Y20" s="283">
        <f t="shared" si="1"/>
        <v>8</v>
      </c>
      <c r="Z20" s="14">
        <f t="shared" si="12"/>
        <v>8.8000000000000007</v>
      </c>
      <c r="AA20" s="283">
        <f t="shared" si="3"/>
        <v>4</v>
      </c>
      <c r="AB20" s="69">
        <f>Table3515505713182956[[#This Row],[Floor4]]+Table3515505713182956[[#This Row],[Vault6]]</f>
        <v>17.5</v>
      </c>
      <c r="AC20" s="283">
        <f t="shared" si="4"/>
        <v>7</v>
      </c>
    </row>
    <row r="21" spans="1:29">
      <c r="A21" s="149">
        <v>975</v>
      </c>
      <c r="B21" s="93" t="s">
        <v>479</v>
      </c>
      <c r="C21" s="13">
        <v>9.1</v>
      </c>
      <c r="D21" s="13">
        <v>8.9</v>
      </c>
      <c r="E21" s="13">
        <f t="shared" si="13"/>
        <v>18</v>
      </c>
      <c r="F21" s="1"/>
      <c r="G21" s="149">
        <v>981</v>
      </c>
      <c r="H21" s="93" t="s">
        <v>1228</v>
      </c>
      <c r="I21" s="13">
        <v>9.1999999999999993</v>
      </c>
      <c r="J21" s="13">
        <v>8</v>
      </c>
      <c r="K21" s="13">
        <f t="shared" si="14"/>
        <v>17.2</v>
      </c>
      <c r="L21" s="1"/>
      <c r="N21" s="7" t="s">
        <v>221</v>
      </c>
      <c r="O21" s="46">
        <f>E25</f>
        <v>69.3</v>
      </c>
      <c r="P21" s="40">
        <f t="shared" si="10"/>
        <v>3</v>
      </c>
      <c r="U21" s="16" t="s">
        <v>391</v>
      </c>
      <c r="V21" s="149">
        <v>970</v>
      </c>
      <c r="W21" s="93" t="s">
        <v>448</v>
      </c>
      <c r="X21" s="14">
        <f>O11</f>
        <v>8.6</v>
      </c>
      <c r="Y21" s="283">
        <f t="shared" si="1"/>
        <v>9</v>
      </c>
      <c r="Z21" s="14">
        <f t="shared" si="12"/>
        <v>8.1999999999999993</v>
      </c>
      <c r="AA21" s="283">
        <f t="shared" si="3"/>
        <v>12</v>
      </c>
      <c r="AB21" s="69">
        <f>Table3515505713182956[[#This Row],[Floor4]]+Table3515505713182956[[#This Row],[Vault6]]</f>
        <v>16.799999999999997</v>
      </c>
      <c r="AC21" s="283">
        <f t="shared" si="4"/>
        <v>17</v>
      </c>
    </row>
    <row r="22" spans="1:29">
      <c r="A22" s="149">
        <v>976</v>
      </c>
      <c r="B22" s="93" t="s">
        <v>1136</v>
      </c>
      <c r="C22" s="13">
        <v>9.1</v>
      </c>
      <c r="D22" s="13">
        <v>8.0500000000000007</v>
      </c>
      <c r="E22" s="13">
        <f t="shared" si="13"/>
        <v>17.149999999999999</v>
      </c>
      <c r="F22" s="1"/>
      <c r="G22" s="149">
        <v>982</v>
      </c>
      <c r="H22" s="93" t="s">
        <v>1229</v>
      </c>
      <c r="I22" s="13">
        <v>9.1</v>
      </c>
      <c r="J22" s="13">
        <v>8.75</v>
      </c>
      <c r="K22" s="13">
        <f t="shared" si="14"/>
        <v>17.850000000000001</v>
      </c>
      <c r="L22" s="1"/>
      <c r="M22" s="102"/>
      <c r="N22" s="7" t="s">
        <v>218</v>
      </c>
      <c r="O22" s="46">
        <f>K25</f>
        <v>70.599999999999994</v>
      </c>
      <c r="P22" s="40">
        <f t="shared" si="10"/>
        <v>1</v>
      </c>
      <c r="Q22" s="73"/>
      <c r="U22" s="16" t="s">
        <v>391</v>
      </c>
      <c r="V22" s="149">
        <v>971</v>
      </c>
      <c r="W22" s="100" t="s">
        <v>1007</v>
      </c>
      <c r="X22" s="14">
        <f t="shared" si="11"/>
        <v>9.3000000000000007</v>
      </c>
      <c r="Y22" s="283">
        <f t="shared" si="1"/>
        <v>2</v>
      </c>
      <c r="Z22" s="14">
        <f>P12</f>
        <v>8.1</v>
      </c>
      <c r="AA22" s="283">
        <f t="shared" si="3"/>
        <v>14</v>
      </c>
      <c r="AB22" s="69">
        <f>Table3515505713182956[[#This Row],[Floor4]]+Table3515505713182956[[#This Row],[Vault6]]</f>
        <v>17.399999999999999</v>
      </c>
      <c r="AC22" s="283">
        <f t="shared" si="4"/>
        <v>8</v>
      </c>
    </row>
    <row r="23" spans="1:29">
      <c r="A23" s="149">
        <v>977</v>
      </c>
      <c r="B23" s="93" t="s">
        <v>1137</v>
      </c>
      <c r="C23" s="13">
        <v>9.1999999999999993</v>
      </c>
      <c r="D23" s="13">
        <v>7.85</v>
      </c>
      <c r="E23" s="13">
        <f t="shared" si="13"/>
        <v>17.049999999999997</v>
      </c>
      <c r="F23" s="1"/>
      <c r="G23" s="149">
        <v>983</v>
      </c>
      <c r="H23" s="234" t="s">
        <v>525</v>
      </c>
      <c r="I23" s="13">
        <v>8.6999999999999993</v>
      </c>
      <c r="J23" s="13">
        <v>8.65</v>
      </c>
      <c r="K23" s="13">
        <f t="shared" si="14"/>
        <v>17.350000000000001</v>
      </c>
      <c r="L23" s="1"/>
      <c r="M23" s="102"/>
      <c r="Q23" s="73"/>
      <c r="U23" s="16" t="s">
        <v>391</v>
      </c>
      <c r="V23" s="149">
        <v>972</v>
      </c>
      <c r="W23" s="100" t="s">
        <v>1008</v>
      </c>
      <c r="X23" s="14">
        <f>O13</f>
        <v>8.8000000000000007</v>
      </c>
      <c r="Y23" s="283">
        <f t="shared" si="1"/>
        <v>7.0000000000000009</v>
      </c>
      <c r="Z23" s="14">
        <f>P13</f>
        <v>8.3000000000000007</v>
      </c>
      <c r="AA23" s="283">
        <f t="shared" si="3"/>
        <v>10</v>
      </c>
      <c r="AB23" s="69">
        <f>Table3515505713182956[[#This Row],[Floor4]]+Table3515505713182956[[#This Row],[Vault6]]</f>
        <v>17.100000000000001</v>
      </c>
      <c r="AC23" s="283">
        <f t="shared" si="4"/>
        <v>13</v>
      </c>
    </row>
    <row r="24" spans="1:29" ht="16.5" thickBot="1">
      <c r="A24" s="149">
        <v>978</v>
      </c>
      <c r="B24" s="97"/>
      <c r="C24" s="13">
        <v>0</v>
      </c>
      <c r="D24" s="13">
        <v>0</v>
      </c>
      <c r="E24" s="13">
        <f t="shared" si="13"/>
        <v>0</v>
      </c>
      <c r="F24" s="106"/>
      <c r="G24" s="149">
        <v>984</v>
      </c>
      <c r="H24" s="97"/>
      <c r="I24" s="13">
        <v>0</v>
      </c>
      <c r="J24" s="13">
        <v>0</v>
      </c>
      <c r="K24" s="13">
        <f t="shared" si="14"/>
        <v>0</v>
      </c>
      <c r="L24" s="106"/>
      <c r="M24" s="102"/>
      <c r="Q24" s="68"/>
      <c r="U24" s="16" t="s">
        <v>1104</v>
      </c>
      <c r="V24" s="149">
        <v>985</v>
      </c>
      <c r="W24" s="16" t="s">
        <v>1107</v>
      </c>
      <c r="X24" s="14">
        <f>C30</f>
        <v>9.1999999999999993</v>
      </c>
      <c r="Y24" s="283">
        <f t="shared" si="1"/>
        <v>3</v>
      </c>
      <c r="Z24" s="14">
        <f>D30</f>
        <v>9.0500000000000007</v>
      </c>
      <c r="AA24" s="283">
        <f t="shared" si="3"/>
        <v>2</v>
      </c>
      <c r="AB24" s="69">
        <f>Table3515505713182956[[#This Row],[Floor4]]+Table3515505713182956[[#This Row],[Vault6]]</f>
        <v>18.25</v>
      </c>
      <c r="AC24" s="283">
        <f t="shared" si="4"/>
        <v>2</v>
      </c>
    </row>
    <row r="25" spans="1:29" ht="16.5" thickBot="1">
      <c r="B25" s="25" t="s">
        <v>10</v>
      </c>
      <c r="C25" s="19">
        <f>SUM(C19:C24)-SMALL(C19:C24,1)-SMALL(C19:C24,2)</f>
        <v>36.299999999999997</v>
      </c>
      <c r="D25" s="19">
        <f>SUM(D19:D24)-SMALL(D19:D24,1)-SMALL(D19:D24,2)</f>
        <v>33</v>
      </c>
      <c r="E25" s="20">
        <f>SUM(C25:D25)</f>
        <v>69.3</v>
      </c>
      <c r="F25" s="106"/>
      <c r="H25" s="25" t="s">
        <v>10</v>
      </c>
      <c r="I25" s="19">
        <f>SUM(I19:I24)-SMALL(I19:I24,1)-SMALL(I19:I24,2)</f>
        <v>36.399999999999991</v>
      </c>
      <c r="J25" s="19">
        <f>SUM(J19:J24)-SMALL(J19:J24,1)-SMALL(J19:J24,2)</f>
        <v>34.199999999999996</v>
      </c>
      <c r="K25" s="20">
        <f>SUM(I25:J25)</f>
        <v>70.599999999999994</v>
      </c>
      <c r="L25" s="106"/>
      <c r="M25" s="1"/>
      <c r="Q25" s="105"/>
      <c r="U25" s="16" t="s">
        <v>1104</v>
      </c>
      <c r="V25" s="149">
        <v>986</v>
      </c>
      <c r="W25" s="16" t="s">
        <v>1108</v>
      </c>
      <c r="X25" s="14">
        <f>C31</f>
        <v>9.5</v>
      </c>
      <c r="Y25" s="283">
        <f t="shared" si="1"/>
        <v>1</v>
      </c>
      <c r="Z25" s="14">
        <f>D31</f>
        <v>9.1</v>
      </c>
      <c r="AA25" s="283">
        <f t="shared" si="3"/>
        <v>1</v>
      </c>
      <c r="AB25" s="69">
        <f>Table3515505713182956[[#This Row],[Floor4]]+Table3515505713182956[[#This Row],[Vault6]]</f>
        <v>18.600000000000001</v>
      </c>
      <c r="AC25" s="283">
        <f t="shared" si="4"/>
        <v>1</v>
      </c>
    </row>
    <row r="26" spans="1:29">
      <c r="B26" s="94" t="s">
        <v>37</v>
      </c>
      <c r="D26" s="25"/>
      <c r="E26" s="26"/>
      <c r="F26" s="1"/>
      <c r="H26" s="94" t="s">
        <v>37</v>
      </c>
      <c r="J26" s="25"/>
      <c r="K26" s="26"/>
      <c r="L26" s="1"/>
      <c r="M26" s="1"/>
      <c r="Q26" s="115"/>
      <c r="U26" s="16" t="s">
        <v>87</v>
      </c>
      <c r="V26" s="149">
        <v>973</v>
      </c>
      <c r="W26" s="93" t="s">
        <v>481</v>
      </c>
      <c r="X26" s="14">
        <f>C19</f>
        <v>8.9</v>
      </c>
      <c r="Y26" s="283">
        <f t="shared" si="1"/>
        <v>6.0000000000000009</v>
      </c>
      <c r="Z26" s="14">
        <f>D19</f>
        <v>7.85</v>
      </c>
      <c r="AA26" s="283">
        <f t="shared" si="3"/>
        <v>19</v>
      </c>
      <c r="AB26" s="69">
        <f>Table3515505713182956[[#This Row],[Floor4]]+Table3515505713182956[[#This Row],[Vault6]]</f>
        <v>16.75</v>
      </c>
      <c r="AC26" s="283">
        <f t="shared" si="4"/>
        <v>18</v>
      </c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U27" s="16" t="s">
        <v>87</v>
      </c>
      <c r="V27" s="149">
        <v>974</v>
      </c>
      <c r="W27" s="93" t="s">
        <v>480</v>
      </c>
      <c r="X27" s="14">
        <f>C20</f>
        <v>8.5</v>
      </c>
      <c r="Y27" s="283">
        <f t="shared" si="1"/>
        <v>10.000000000000002</v>
      </c>
      <c r="Z27" s="14">
        <f t="shared" ref="Z27:Z30" si="15">D20</f>
        <v>8.1999999999999993</v>
      </c>
      <c r="AA27" s="283">
        <f t="shared" si="3"/>
        <v>12</v>
      </c>
      <c r="AB27" s="69">
        <f>Table3515505713182956[[#This Row],[Floor4]]+Table3515505713182956[[#This Row],[Vault6]]</f>
        <v>16.7</v>
      </c>
      <c r="AC27" s="283">
        <f t="shared" si="4"/>
        <v>19</v>
      </c>
    </row>
    <row r="28" spans="1:29">
      <c r="A28" s="285" t="s">
        <v>1328</v>
      </c>
      <c r="B28" s="220"/>
      <c r="C28" s="220"/>
      <c r="D28" s="220"/>
      <c r="E28" s="221"/>
      <c r="F28" s="106"/>
      <c r="G28" s="137"/>
      <c r="H28" s="137"/>
      <c r="I28" s="137"/>
      <c r="J28" s="137"/>
      <c r="K28" s="137"/>
      <c r="L28" s="8"/>
      <c r="M28" s="1"/>
      <c r="Q28" s="132"/>
      <c r="U28" s="16" t="s">
        <v>87</v>
      </c>
      <c r="V28" s="149">
        <v>975</v>
      </c>
      <c r="W28" s="93" t="s">
        <v>479</v>
      </c>
      <c r="X28" s="14">
        <f t="shared" ref="X28:X29" si="16">C21</f>
        <v>9.1</v>
      </c>
      <c r="Y28" s="283">
        <f t="shared" si="1"/>
        <v>4</v>
      </c>
      <c r="Z28" s="14">
        <f>D21</f>
        <v>8.9</v>
      </c>
      <c r="AA28" s="283">
        <f t="shared" si="3"/>
        <v>3</v>
      </c>
      <c r="AB28" s="69">
        <f>Table3515505713182956[[#This Row],[Floor4]]+Table3515505713182956[[#This Row],[Vault6]]</f>
        <v>18</v>
      </c>
      <c r="AC28" s="283">
        <f t="shared" si="4"/>
        <v>3</v>
      </c>
    </row>
    <row r="29" spans="1:29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  <c r="F29" s="1"/>
      <c r="G29" s="111"/>
      <c r="H29" s="111"/>
      <c r="I29" s="111"/>
      <c r="J29" s="111"/>
      <c r="K29" s="111"/>
      <c r="M29" s="111"/>
      <c r="Q29" s="111"/>
      <c r="U29" s="16" t="s">
        <v>87</v>
      </c>
      <c r="V29" s="149">
        <v>976</v>
      </c>
      <c r="W29" s="93" t="s">
        <v>1136</v>
      </c>
      <c r="X29" s="14">
        <f t="shared" si="16"/>
        <v>9.1</v>
      </c>
      <c r="Y29" s="283">
        <f t="shared" si="1"/>
        <v>4</v>
      </c>
      <c r="Z29" s="14">
        <f t="shared" si="15"/>
        <v>8.0500000000000007</v>
      </c>
      <c r="AA29" s="283">
        <f t="shared" si="3"/>
        <v>15.000000000000002</v>
      </c>
      <c r="AB29" s="69">
        <f>Table3515505713182956[[#This Row],[Floor4]]+Table3515505713182956[[#This Row],[Vault6]]</f>
        <v>17.149999999999999</v>
      </c>
      <c r="AC29" s="283">
        <f t="shared" si="4"/>
        <v>12</v>
      </c>
    </row>
    <row r="30" spans="1:29">
      <c r="A30" s="149">
        <v>985</v>
      </c>
      <c r="B30" s="16" t="s">
        <v>1107</v>
      </c>
      <c r="C30" s="13">
        <v>9.1999999999999993</v>
      </c>
      <c r="D30" s="13">
        <v>9.0500000000000007</v>
      </c>
      <c r="E30" s="13">
        <f t="shared" ref="E30" si="17">SUM(C30,D30)</f>
        <v>18.25</v>
      </c>
      <c r="F30" s="1"/>
      <c r="G30" s="102"/>
      <c r="H30" s="110"/>
      <c r="I30" s="73"/>
      <c r="J30" s="73"/>
      <c r="K30" s="73"/>
      <c r="M30" s="102"/>
      <c r="Q30" s="73"/>
      <c r="U30" s="16" t="s">
        <v>87</v>
      </c>
      <c r="V30" s="149">
        <v>977</v>
      </c>
      <c r="W30" s="93" t="s">
        <v>1137</v>
      </c>
      <c r="X30" s="14">
        <f>C23</f>
        <v>9.1999999999999993</v>
      </c>
      <c r="Y30" s="283">
        <f t="shared" si="1"/>
        <v>3</v>
      </c>
      <c r="Z30" s="14">
        <f t="shared" si="15"/>
        <v>7.85</v>
      </c>
      <c r="AA30" s="283">
        <f t="shared" si="3"/>
        <v>19</v>
      </c>
      <c r="AB30" s="69">
        <f>Table3515505713182956[[#This Row],[Floor4]]+Table3515505713182956[[#This Row],[Vault6]]</f>
        <v>17.049999999999997</v>
      </c>
      <c r="AC30" s="283">
        <f t="shared" si="4"/>
        <v>14</v>
      </c>
    </row>
    <row r="31" spans="1:29">
      <c r="A31" s="149">
        <v>986</v>
      </c>
      <c r="B31" s="16" t="s">
        <v>1108</v>
      </c>
      <c r="C31" s="13">
        <v>9.5</v>
      </c>
      <c r="D31" s="13">
        <v>9.1</v>
      </c>
      <c r="E31" s="13">
        <f t="shared" ref="E31" si="18">SUM(C31,D31)</f>
        <v>18.600000000000001</v>
      </c>
      <c r="F31" s="1"/>
      <c r="G31" s="102"/>
      <c r="H31" s="110"/>
      <c r="I31" s="73"/>
      <c r="J31" s="73"/>
      <c r="K31" s="73"/>
      <c r="M31" s="102"/>
      <c r="Q31" s="73"/>
      <c r="U31" s="16" t="s">
        <v>1227</v>
      </c>
      <c r="V31" s="149">
        <v>979</v>
      </c>
      <c r="W31" s="101" t="s">
        <v>523</v>
      </c>
      <c r="X31" s="14">
        <f>I19</f>
        <v>8.9</v>
      </c>
      <c r="Y31" s="283">
        <f t="shared" si="1"/>
        <v>6.0000000000000009</v>
      </c>
      <c r="Z31" s="14">
        <f>J19</f>
        <v>8.1</v>
      </c>
      <c r="AA31" s="283">
        <f t="shared" si="3"/>
        <v>14</v>
      </c>
      <c r="AB31" s="69">
        <f>Table3515505713182956[[#This Row],[Floor4]]+Table3515505713182956[[#This Row],[Vault6]]</f>
        <v>17</v>
      </c>
      <c r="AC31" s="283">
        <f t="shared" si="4"/>
        <v>15</v>
      </c>
    </row>
    <row r="32" spans="1:29">
      <c r="F32" s="1"/>
      <c r="G32" s="102"/>
      <c r="H32" s="110"/>
      <c r="I32" s="73"/>
      <c r="J32" s="73"/>
      <c r="K32" s="73"/>
      <c r="M32" s="102"/>
      <c r="Q32" s="73"/>
      <c r="U32" s="16" t="s">
        <v>1227</v>
      </c>
      <c r="V32" s="149">
        <v>980</v>
      </c>
      <c r="W32" s="101" t="s">
        <v>524</v>
      </c>
      <c r="X32" s="14">
        <f t="shared" ref="X32:X35" si="19">I20</f>
        <v>9.1999999999999993</v>
      </c>
      <c r="Y32" s="283">
        <f t="shared" si="1"/>
        <v>3</v>
      </c>
      <c r="Z32" s="14">
        <f t="shared" ref="Z32:Z35" si="20">J20</f>
        <v>8.6999999999999993</v>
      </c>
      <c r="AA32" s="283">
        <f t="shared" si="3"/>
        <v>6</v>
      </c>
      <c r="AB32" s="69">
        <f>Table3515505713182956[[#This Row],[Floor4]]+Table3515505713182956[[#This Row],[Vault6]]</f>
        <v>17.899999999999999</v>
      </c>
      <c r="AC32" s="283">
        <f t="shared" si="4"/>
        <v>4</v>
      </c>
    </row>
    <row r="33" spans="1:29">
      <c r="F33" s="1"/>
      <c r="G33" s="102"/>
      <c r="H33" s="110"/>
      <c r="I33" s="73"/>
      <c r="J33" s="73"/>
      <c r="K33" s="73"/>
      <c r="M33" s="102"/>
      <c r="Q33" s="73"/>
      <c r="U33" s="16" t="s">
        <v>1227</v>
      </c>
      <c r="V33" s="149">
        <v>981</v>
      </c>
      <c r="W33" s="101" t="s">
        <v>1228</v>
      </c>
      <c r="X33" s="14">
        <f t="shared" si="19"/>
        <v>9.1999999999999993</v>
      </c>
      <c r="Y33" s="283">
        <f t="shared" si="1"/>
        <v>3</v>
      </c>
      <c r="Z33" s="14">
        <f t="shared" si="20"/>
        <v>8</v>
      </c>
      <c r="AA33" s="283">
        <f t="shared" si="3"/>
        <v>16</v>
      </c>
      <c r="AB33" s="69">
        <f>Table3515505713182956[[#This Row],[Floor4]]+Table3515505713182956[[#This Row],[Vault6]]</f>
        <v>17.2</v>
      </c>
      <c r="AC33" s="283">
        <f t="shared" si="4"/>
        <v>11</v>
      </c>
    </row>
    <row r="34" spans="1:29">
      <c r="A34" s="102"/>
      <c r="B34" s="110"/>
      <c r="C34" s="73"/>
      <c r="D34" s="73"/>
      <c r="E34" s="73"/>
      <c r="F34" s="1"/>
      <c r="G34" s="102"/>
      <c r="H34" s="110"/>
      <c r="I34" s="73"/>
      <c r="J34" s="73"/>
      <c r="K34" s="73"/>
      <c r="M34" s="102"/>
      <c r="Q34" s="73"/>
      <c r="U34" s="16" t="s">
        <v>1227</v>
      </c>
      <c r="V34" s="149">
        <v>982</v>
      </c>
      <c r="W34" s="101" t="s">
        <v>1229</v>
      </c>
      <c r="X34" s="14">
        <f t="shared" si="19"/>
        <v>9.1</v>
      </c>
      <c r="Y34" s="283">
        <f t="shared" si="1"/>
        <v>4</v>
      </c>
      <c r="Z34" s="14">
        <f>J22</f>
        <v>8.75</v>
      </c>
      <c r="AA34" s="283">
        <f t="shared" si="3"/>
        <v>5</v>
      </c>
      <c r="AB34" s="69">
        <f>Table3515505713182956[[#This Row],[Floor4]]+Table3515505713182956[[#This Row],[Vault6]]</f>
        <v>17.850000000000001</v>
      </c>
      <c r="AC34" s="283">
        <f t="shared" si="4"/>
        <v>5</v>
      </c>
    </row>
    <row r="35" spans="1:29">
      <c r="A35" s="102"/>
      <c r="B35" s="110"/>
      <c r="C35" s="73"/>
      <c r="D35" s="73"/>
      <c r="E35" s="68"/>
      <c r="F35" s="106"/>
      <c r="G35" s="102"/>
      <c r="H35" s="110"/>
      <c r="I35" s="73"/>
      <c r="J35" s="73"/>
      <c r="K35" s="68"/>
      <c r="L35" s="8"/>
      <c r="M35" s="102"/>
      <c r="Q35" s="68"/>
      <c r="U35" s="16" t="s">
        <v>1227</v>
      </c>
      <c r="V35" s="149">
        <v>983</v>
      </c>
      <c r="W35" s="242" t="s">
        <v>525</v>
      </c>
      <c r="X35" s="14">
        <f t="shared" si="19"/>
        <v>8.6999999999999993</v>
      </c>
      <c r="Y35" s="283">
        <f t="shared" si="1"/>
        <v>8</v>
      </c>
      <c r="Z35" s="14">
        <f t="shared" si="20"/>
        <v>8.65</v>
      </c>
      <c r="AA35" s="283">
        <f t="shared" si="3"/>
        <v>7</v>
      </c>
      <c r="AB35" s="69">
        <f>Table3515505713182956[[#This Row],[Floor4]]+Table3515505713182956[[#This Row],[Vault6]]</f>
        <v>17.350000000000001</v>
      </c>
      <c r="AC35" s="283">
        <f t="shared" si="4"/>
        <v>9</v>
      </c>
    </row>
    <row r="36" spans="1:29">
      <c r="A36" s="1"/>
      <c r="B36" s="104"/>
      <c r="C36" s="64"/>
      <c r="D36" s="64"/>
      <c r="E36" s="105"/>
      <c r="F36" s="106"/>
      <c r="G36" s="1"/>
      <c r="H36" s="104"/>
      <c r="I36" s="64"/>
      <c r="J36" s="64"/>
      <c r="K36" s="105"/>
      <c r="L36" s="8"/>
      <c r="M36" s="1"/>
      <c r="N36" s="103"/>
      <c r="O36" s="73"/>
      <c r="P36" s="73"/>
      <c r="Q36" s="105"/>
      <c r="U36" s="307" t="s">
        <v>1227</v>
      </c>
      <c r="V36" s="302">
        <v>993</v>
      </c>
      <c r="W36" s="308" t="s">
        <v>1232</v>
      </c>
      <c r="X36" s="295">
        <f>'ADV 9&amp;U MX'!D11</f>
        <v>8.3000000000000007</v>
      </c>
      <c r="Y36" s="283">
        <f t="shared" si="1"/>
        <v>10.999999999999998</v>
      </c>
      <c r="Z36" s="295">
        <f>'ADV 9&amp;U MX'!E11</f>
        <v>7.9</v>
      </c>
      <c r="AA36" s="283">
        <f t="shared" si="3"/>
        <v>18</v>
      </c>
      <c r="AB36" s="299">
        <f>Table3515505713182956[[#This Row],[Floor4]]+Table3515505713182956[[#This Row],[Vault6]]</f>
        <v>16.200000000000003</v>
      </c>
      <c r="AC36" s="283">
        <f t="shared" si="4"/>
        <v>21.999999999999996</v>
      </c>
    </row>
    <row r="37" spans="1:29">
      <c r="A37" s="1"/>
      <c r="B37" s="121"/>
      <c r="C37" s="1"/>
      <c r="D37" s="104"/>
      <c r="E37" s="115"/>
      <c r="F37" s="1"/>
      <c r="G37" s="1"/>
      <c r="H37" s="121"/>
      <c r="I37" s="1"/>
      <c r="J37" s="104"/>
      <c r="K37" s="115"/>
      <c r="N37" s="103"/>
      <c r="O37" s="73"/>
      <c r="P37" s="73"/>
      <c r="Q37" s="26"/>
      <c r="U37" s="307" t="s">
        <v>1227</v>
      </c>
      <c r="V37" s="302">
        <v>994</v>
      </c>
      <c r="W37" s="308" t="s">
        <v>1233</v>
      </c>
      <c r="X37" s="295">
        <f>'ADV 9&amp;U MX'!D12</f>
        <v>8.6</v>
      </c>
      <c r="Y37" s="283">
        <f t="shared" si="1"/>
        <v>9</v>
      </c>
      <c r="Z37" s="295">
        <f>'ADV 9&amp;U MX'!E12</f>
        <v>8.1</v>
      </c>
      <c r="AA37" s="283">
        <f t="shared" si="3"/>
        <v>14</v>
      </c>
      <c r="AB37" s="299">
        <f>Table3515505713182956[[#This Row],[Floor4]]+Table3515505713182956[[#This Row],[Vault6]]</f>
        <v>16.7</v>
      </c>
      <c r="AC37" s="283">
        <f t="shared" si="4"/>
        <v>19</v>
      </c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03"/>
      <c r="O38" s="73"/>
      <c r="P38" s="73"/>
      <c r="Q38" s="1"/>
      <c r="U38" s="307" t="s">
        <v>1227</v>
      </c>
      <c r="V38" s="310">
        <v>995</v>
      </c>
      <c r="W38" s="311" t="s">
        <v>1234</v>
      </c>
      <c r="X38" s="295">
        <f>'ADV 9&amp;U MX'!D13</f>
        <v>8.8000000000000007</v>
      </c>
      <c r="Y38" s="283">
        <f t="shared" si="1"/>
        <v>7.0000000000000009</v>
      </c>
      <c r="Z38" s="295">
        <f>'ADV 9&amp;U MX'!E13</f>
        <v>7.95</v>
      </c>
      <c r="AA38" s="283">
        <f t="shared" si="3"/>
        <v>17</v>
      </c>
      <c r="AB38" s="299">
        <f>Table3515505713182956[[#This Row],[Floor4]]+Table3515505713182956[[#This Row],[Vault6]]</f>
        <v>16.75</v>
      </c>
      <c r="AC38" s="283">
        <f t="shared" si="4"/>
        <v>18</v>
      </c>
    </row>
    <row r="39" spans="1:29">
      <c r="F39" s="106"/>
      <c r="G39" s="1"/>
      <c r="H39" s="1"/>
      <c r="I39" s="1"/>
      <c r="J39" s="1"/>
      <c r="K39" s="1"/>
      <c r="L39" s="106"/>
      <c r="M39" s="233"/>
      <c r="N39" s="104"/>
      <c r="O39" s="64"/>
      <c r="P39" s="64"/>
      <c r="Q39" s="132"/>
    </row>
    <row r="40" spans="1:29">
      <c r="F40" s="1"/>
      <c r="G40" s="1"/>
      <c r="H40" s="1"/>
      <c r="I40" s="1"/>
      <c r="J40" s="1"/>
      <c r="K40" s="1"/>
      <c r="L40" s="1"/>
      <c r="M40" s="111"/>
      <c r="N40" s="114"/>
      <c r="O40" s="1"/>
      <c r="P40" s="104"/>
      <c r="Q40" s="111"/>
    </row>
    <row r="41" spans="1:29">
      <c r="F41" s="1"/>
      <c r="G41" s="1"/>
      <c r="H41" s="1"/>
      <c r="I41" s="1"/>
      <c r="J41" s="1"/>
      <c r="K41" s="1"/>
      <c r="L41" s="1"/>
      <c r="M41" s="102"/>
      <c r="N41" s="1"/>
      <c r="O41" s="1"/>
      <c r="P41" s="1"/>
      <c r="Q41" s="73"/>
    </row>
    <row r="42" spans="1:29">
      <c r="F42" s="1"/>
      <c r="G42" s="102"/>
      <c r="H42" s="110"/>
      <c r="I42" s="73"/>
      <c r="J42" s="73"/>
      <c r="K42" s="73"/>
      <c r="L42" s="1"/>
      <c r="M42" s="102"/>
      <c r="N42" s="233"/>
      <c r="O42" s="132"/>
      <c r="P42" s="132"/>
      <c r="Q42" s="73"/>
    </row>
    <row r="43" spans="1:29">
      <c r="A43" s="102"/>
      <c r="B43" s="103"/>
      <c r="C43" s="73"/>
      <c r="D43" s="73"/>
      <c r="E43" s="73"/>
      <c r="F43" s="1"/>
      <c r="G43" s="102"/>
      <c r="H43" s="103"/>
      <c r="I43" s="73"/>
      <c r="J43" s="73"/>
      <c r="K43" s="73"/>
      <c r="L43" s="1"/>
      <c r="M43" s="102"/>
      <c r="N43" s="111"/>
      <c r="O43" s="111"/>
      <c r="P43" s="111"/>
      <c r="Q43" s="73"/>
    </row>
    <row r="44" spans="1:29">
      <c r="A44" s="102"/>
      <c r="B44" s="103"/>
      <c r="C44" s="73"/>
      <c r="D44" s="73"/>
      <c r="E44" s="73"/>
      <c r="F44" s="1"/>
      <c r="G44" s="102"/>
      <c r="H44" s="103"/>
      <c r="I44" s="73"/>
      <c r="J44" s="73"/>
      <c r="K44" s="73"/>
      <c r="L44" s="1"/>
      <c r="M44" s="102"/>
      <c r="N44" s="103"/>
      <c r="O44" s="73"/>
      <c r="P44" s="73"/>
      <c r="Q44" s="73"/>
    </row>
    <row r="45" spans="1:29">
      <c r="A45" s="102"/>
      <c r="B45" s="103"/>
      <c r="C45" s="73"/>
      <c r="D45" s="73"/>
      <c r="E45" s="73"/>
      <c r="F45" s="1"/>
      <c r="G45" s="102"/>
      <c r="H45" s="103"/>
      <c r="I45" s="73"/>
      <c r="J45" s="73"/>
      <c r="K45" s="73"/>
      <c r="L45" s="1"/>
      <c r="M45" s="102"/>
      <c r="N45" s="103"/>
      <c r="O45" s="73"/>
      <c r="P45" s="73"/>
      <c r="Q45" s="73"/>
    </row>
    <row r="46" spans="1:29">
      <c r="A46" s="102"/>
      <c r="B46" s="103"/>
      <c r="C46" s="73"/>
      <c r="D46" s="73"/>
      <c r="E46" s="68"/>
      <c r="F46" s="106"/>
      <c r="G46" s="102"/>
      <c r="H46" s="103"/>
      <c r="I46" s="73"/>
      <c r="J46" s="73"/>
      <c r="K46" s="68"/>
      <c r="L46" s="106"/>
      <c r="M46" s="102"/>
      <c r="N46" s="24"/>
      <c r="P46" s="25"/>
      <c r="Q46" s="68"/>
    </row>
    <row r="47" spans="1:29">
      <c r="A47" s="1"/>
      <c r="B47" s="104"/>
      <c r="C47" s="64"/>
      <c r="D47" s="64"/>
      <c r="E47" s="105"/>
      <c r="F47" s="106"/>
      <c r="G47" s="1"/>
      <c r="H47" s="104"/>
      <c r="I47" s="64"/>
      <c r="J47" s="64"/>
      <c r="K47" s="105"/>
      <c r="L47" s="106"/>
      <c r="M47" s="1"/>
      <c r="Q47" s="105"/>
    </row>
    <row r="48" spans="1:29">
      <c r="A48" s="1"/>
      <c r="B48" s="114"/>
      <c r="C48" s="1"/>
      <c r="D48" s="104"/>
      <c r="E48" s="115"/>
      <c r="F48" s="1"/>
      <c r="G48" s="1"/>
      <c r="H48" s="114"/>
      <c r="I48" s="1"/>
      <c r="J48" s="104"/>
      <c r="K48" s="115"/>
      <c r="L48" s="1"/>
      <c r="M48" s="1"/>
      <c r="Q48" s="115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Q49" s="1"/>
    </row>
    <row r="50" spans="1:17">
      <c r="A50" s="132"/>
      <c r="B50" s="132"/>
      <c r="C50" s="132"/>
      <c r="D50" s="132"/>
      <c r="E50" s="132"/>
      <c r="F50" s="106"/>
      <c r="G50" s="132"/>
      <c r="H50" s="132"/>
      <c r="I50" s="132"/>
      <c r="J50" s="132"/>
      <c r="K50" s="132"/>
      <c r="L50" s="106"/>
      <c r="M50" s="132"/>
      <c r="Q50" s="132"/>
    </row>
    <row r="51" spans="1:17">
      <c r="A51" s="111"/>
      <c r="B51" s="111"/>
      <c r="C51" s="111"/>
      <c r="D51" s="111"/>
      <c r="E51" s="111"/>
      <c r="F51" s="1"/>
      <c r="G51" s="111"/>
      <c r="H51" s="111"/>
      <c r="I51" s="111"/>
      <c r="J51" s="111"/>
      <c r="K51" s="111"/>
      <c r="L51" s="1"/>
      <c r="M51" s="111"/>
      <c r="Q51" s="111"/>
    </row>
    <row r="52" spans="1:17">
      <c r="A52" s="102"/>
      <c r="B52" s="103"/>
      <c r="C52" s="73"/>
      <c r="D52" s="73"/>
      <c r="E52" s="73"/>
      <c r="F52" s="1"/>
      <c r="G52" s="102"/>
      <c r="H52" s="103"/>
      <c r="I52" s="73"/>
      <c r="J52" s="73"/>
      <c r="K52" s="73"/>
      <c r="L52" s="1"/>
      <c r="M52" s="102"/>
      <c r="Q52" s="73"/>
    </row>
    <row r="53" spans="1:17">
      <c r="A53" s="102"/>
      <c r="B53" s="103"/>
      <c r="C53" s="73"/>
      <c r="D53" s="73"/>
      <c r="E53" s="73"/>
      <c r="F53" s="1"/>
      <c r="G53" s="102"/>
      <c r="H53" s="103"/>
      <c r="I53" s="73"/>
      <c r="J53" s="73"/>
      <c r="K53" s="73"/>
      <c r="L53" s="1"/>
      <c r="M53" s="102"/>
      <c r="Q53" s="73"/>
    </row>
    <row r="54" spans="1:17">
      <c r="B54" s="24"/>
      <c r="D54" s="25"/>
      <c r="E54" s="26"/>
      <c r="H54" s="24"/>
      <c r="J54" s="25"/>
      <c r="K54" s="26"/>
      <c r="Q54" s="26"/>
    </row>
    <row r="55" spans="1:17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1:17">
      <c r="F56" s="81"/>
      <c r="G56" s="132"/>
      <c r="H56" s="132"/>
      <c r="I56" s="132"/>
      <c r="J56" s="132"/>
      <c r="K56" s="132"/>
      <c r="L56" s="132"/>
    </row>
    <row r="57" spans="1:17">
      <c r="F57" s="81"/>
      <c r="G57" s="77"/>
      <c r="H57" s="77"/>
      <c r="I57" s="77"/>
      <c r="J57" s="77"/>
      <c r="K57" s="77"/>
      <c r="L57" s="81"/>
    </row>
    <row r="58" spans="1:17">
      <c r="F58" s="81"/>
      <c r="G58" s="80"/>
      <c r="H58" s="87"/>
      <c r="I58" s="68"/>
      <c r="J58" s="68"/>
      <c r="K58" s="68"/>
      <c r="L58" s="81"/>
    </row>
    <row r="59" spans="1:17">
      <c r="A59" s="78"/>
      <c r="B59" s="87"/>
      <c r="C59" s="79"/>
      <c r="D59" s="79"/>
      <c r="E59" s="79"/>
      <c r="F59" s="81"/>
      <c r="G59" s="80"/>
      <c r="H59" s="87"/>
      <c r="I59" s="68"/>
      <c r="J59" s="68"/>
      <c r="K59" s="68"/>
      <c r="L59" s="81"/>
    </row>
    <row r="60" spans="1:17">
      <c r="A60" s="78"/>
      <c r="B60" s="87"/>
      <c r="C60" s="79"/>
      <c r="D60" s="79"/>
      <c r="E60" s="79"/>
      <c r="F60" s="81"/>
      <c r="G60" s="81"/>
      <c r="H60" s="81"/>
      <c r="I60" s="81"/>
      <c r="J60" s="81"/>
      <c r="K60" s="81"/>
      <c r="L60" s="81"/>
      <c r="N60" s="65"/>
      <c r="O60" s="66"/>
      <c r="P60" s="67"/>
    </row>
    <row r="61" spans="1:17">
      <c r="A61" s="78"/>
      <c r="B61" s="87"/>
      <c r="C61" s="79"/>
      <c r="D61" s="79"/>
      <c r="E61" s="79"/>
      <c r="F61" s="81"/>
      <c r="G61" s="132"/>
      <c r="H61" s="132"/>
      <c r="I61" s="132"/>
      <c r="J61" s="132"/>
      <c r="K61" s="132"/>
      <c r="L61" s="132"/>
    </row>
    <row r="62" spans="1:17">
      <c r="A62" s="78"/>
      <c r="B62" s="87"/>
      <c r="C62" s="79"/>
      <c r="D62" s="79"/>
      <c r="E62" s="79"/>
      <c r="F62" s="81"/>
      <c r="G62" s="77"/>
      <c r="H62" s="77"/>
      <c r="I62" s="77"/>
      <c r="J62" s="77"/>
      <c r="K62" s="77"/>
      <c r="L62" s="81"/>
    </row>
    <row r="63" spans="1:17">
      <c r="A63" s="78"/>
      <c r="B63" s="87"/>
      <c r="C63" s="79"/>
      <c r="D63" s="79"/>
      <c r="E63" s="79"/>
      <c r="F63" s="81"/>
      <c r="G63" s="80"/>
      <c r="H63" s="87"/>
      <c r="I63" s="68"/>
      <c r="J63" s="68"/>
      <c r="K63" s="68"/>
      <c r="L63" s="81"/>
    </row>
    <row r="64" spans="1:17">
      <c r="A64" s="88"/>
      <c r="B64" s="82"/>
      <c r="C64" s="79"/>
      <c r="D64" s="79"/>
      <c r="E64" s="83"/>
      <c r="F64" s="81"/>
      <c r="G64" s="80"/>
      <c r="H64" s="87"/>
      <c r="I64" s="68"/>
      <c r="J64" s="68"/>
      <c r="K64" s="68"/>
      <c r="L64" s="81"/>
    </row>
    <row r="65" spans="1:12">
      <c r="A65" s="81"/>
      <c r="B65" s="89"/>
      <c r="C65" s="81"/>
      <c r="D65" s="84"/>
      <c r="E65" s="85"/>
      <c r="F65" s="81"/>
      <c r="G65" s="81"/>
      <c r="H65" s="81"/>
      <c r="I65" s="81"/>
      <c r="J65" s="81"/>
      <c r="K65" s="81"/>
      <c r="L65" s="81"/>
    </row>
    <row r="66" spans="1:12">
      <c r="A66" s="75"/>
      <c r="B66" s="75"/>
      <c r="C66" s="75"/>
      <c r="D66" s="75"/>
      <c r="E66" s="75"/>
      <c r="F66" s="81"/>
      <c r="G66" s="132"/>
      <c r="H66" s="132"/>
      <c r="I66" s="132"/>
      <c r="J66" s="132"/>
      <c r="K66" s="132"/>
      <c r="L66" s="132"/>
    </row>
    <row r="67" spans="1:12">
      <c r="A67" s="76"/>
      <c r="B67" s="76"/>
      <c r="C67" s="76"/>
      <c r="D67" s="76"/>
      <c r="E67" s="76"/>
      <c r="F67" s="81"/>
      <c r="G67" s="77"/>
      <c r="H67" s="77"/>
      <c r="I67" s="77"/>
      <c r="J67" s="77"/>
      <c r="K67" s="77"/>
      <c r="L67" s="81"/>
    </row>
    <row r="68" spans="1:12">
      <c r="A68" s="78"/>
      <c r="B68" s="87"/>
      <c r="C68" s="79"/>
      <c r="D68" s="79"/>
      <c r="E68" s="79"/>
      <c r="F68" s="81"/>
      <c r="G68" s="80"/>
      <c r="H68" s="87"/>
      <c r="I68" s="68"/>
      <c r="J68" s="68"/>
      <c r="K68" s="68"/>
      <c r="L68" s="81"/>
    </row>
    <row r="69" spans="1:12">
      <c r="A69" s="78"/>
      <c r="B69" s="87"/>
      <c r="C69" s="79"/>
      <c r="D69" s="79"/>
      <c r="E69" s="79"/>
      <c r="F69" s="81"/>
      <c r="G69" s="81"/>
      <c r="H69" s="81"/>
      <c r="I69" s="81"/>
      <c r="J69" s="81"/>
      <c r="K69" s="81"/>
      <c r="L69" s="81"/>
    </row>
    <row r="70" spans="1:12">
      <c r="A70" s="78"/>
      <c r="B70" s="87"/>
      <c r="C70" s="79"/>
      <c r="D70" s="79"/>
      <c r="E70" s="79"/>
      <c r="F70" s="81"/>
      <c r="G70" s="81"/>
      <c r="H70" s="81"/>
      <c r="I70" s="81"/>
      <c r="J70" s="81"/>
      <c r="K70" s="81"/>
      <c r="L70" s="81"/>
    </row>
    <row r="71" spans="1:12">
      <c r="A71" s="78"/>
      <c r="B71" s="87"/>
      <c r="C71" s="79"/>
      <c r="D71" s="79"/>
      <c r="E71" s="79"/>
      <c r="F71" s="81"/>
      <c r="G71" s="81"/>
      <c r="H71" s="81"/>
      <c r="I71" s="81"/>
      <c r="J71" s="81"/>
      <c r="K71" s="81"/>
      <c r="L71" s="81"/>
    </row>
    <row r="72" spans="1:12">
      <c r="A72" s="78"/>
      <c r="B72" s="87"/>
      <c r="C72" s="79"/>
      <c r="D72" s="79"/>
      <c r="E72" s="79"/>
      <c r="F72" s="81"/>
      <c r="G72" s="81"/>
      <c r="H72" s="81"/>
      <c r="I72" s="81"/>
      <c r="J72" s="81"/>
      <c r="K72" s="81"/>
      <c r="L72" s="81"/>
    </row>
    <row r="73" spans="1:12">
      <c r="A73" s="78"/>
      <c r="B73" s="87"/>
      <c r="C73" s="79"/>
      <c r="D73" s="79"/>
      <c r="E73" s="79"/>
      <c r="F73" s="81"/>
      <c r="G73" s="81"/>
      <c r="H73" s="81"/>
      <c r="I73" s="81"/>
      <c r="J73" s="81"/>
      <c r="K73" s="81"/>
      <c r="L73" s="81"/>
    </row>
    <row r="74" spans="1:12">
      <c r="A74" s="88"/>
      <c r="B74" s="82"/>
      <c r="C74" s="79"/>
      <c r="D74" s="79"/>
      <c r="E74" s="83"/>
      <c r="F74" s="81"/>
      <c r="G74" s="81"/>
      <c r="H74" s="81"/>
      <c r="I74" s="81"/>
      <c r="J74" s="81"/>
      <c r="K74" s="81"/>
      <c r="L74" s="81"/>
    </row>
    <row r="75" spans="1:1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1:1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</sheetData>
  <mergeCells count="3">
    <mergeCell ref="A1:AC1"/>
    <mergeCell ref="A2:AC2"/>
    <mergeCell ref="G4:I4"/>
  </mergeCells>
  <phoneticPr fontId="21" type="noConversion"/>
  <conditionalFormatting sqref="Y7:Y38">
    <cfRule type="cellIs" dxfId="526" priority="10" operator="equal">
      <formula>3</formula>
    </cfRule>
    <cfRule type="cellIs" dxfId="525" priority="11" operator="equal">
      <formula>2</formula>
    </cfRule>
    <cfRule type="cellIs" dxfId="524" priority="12" operator="equal">
      <formula>1</formula>
    </cfRule>
  </conditionalFormatting>
  <conditionalFormatting sqref="AC7:AC38">
    <cfRule type="cellIs" dxfId="523" priority="4" operator="equal">
      <formula>3</formula>
    </cfRule>
    <cfRule type="cellIs" dxfId="522" priority="5" operator="equal">
      <formula>2</formula>
    </cfRule>
    <cfRule type="cellIs" dxfId="521" priority="6" operator="equal">
      <formula>1</formula>
    </cfRule>
  </conditionalFormatting>
  <conditionalFormatting sqref="AA7:AA38">
    <cfRule type="cellIs" dxfId="520" priority="7" operator="equal">
      <formula>3</formula>
    </cfRule>
    <cfRule type="cellIs" dxfId="519" priority="8" operator="equal">
      <formula>2</formula>
    </cfRule>
    <cfRule type="cellIs" dxfId="518" priority="9" operator="equal">
      <formula>1</formula>
    </cfRule>
  </conditionalFormatting>
  <conditionalFormatting sqref="P18:P22">
    <cfRule type="cellIs" dxfId="517" priority="1" operator="equal">
      <formula>3</formula>
    </cfRule>
    <cfRule type="cellIs" dxfId="516" priority="2" operator="equal">
      <formula>2</formula>
    </cfRule>
    <cfRule type="cellIs" dxfId="515" priority="3" operator="equal">
      <formula>1</formula>
    </cfRule>
  </conditionalFormatting>
  <pageMargins left="0.75" right="0.75" top="1" bottom="1" header="0.5" footer="0.5"/>
  <pageSetup paperSize="9" scale="53" orientation="landscape" horizontalDpi="4294967292" verticalDpi="4294967292"/>
  <colBreaks count="1" manualBreakCount="1">
    <brk id="29" max="1048575" man="1"/>
  </colBreaks>
  <ignoredErrors>
    <ignoredError sqref="Z7:Z38" formula="1"/>
  </ignoredErrors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D27"/>
  <sheetViews>
    <sheetView zoomScale="94" zoomScaleNormal="90" zoomScalePageLayoutView="90" workbookViewId="0">
      <selection activeCell="P19" sqref="P19"/>
    </sheetView>
  </sheetViews>
  <sheetFormatPr defaultColWidth="8.875" defaultRowHeight="15.75"/>
  <cols>
    <col min="1" max="1" width="5.5" bestFit="1" customWidth="1"/>
    <col min="2" max="2" width="4.625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4.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  <col min="34" max="34" width="0.5" customWidth="1"/>
  </cols>
  <sheetData>
    <row r="1" spans="1:8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8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"/>
      <c r="BI2" s="2"/>
    </row>
    <row r="3" spans="1:82" ht="23.25">
      <c r="A3" s="8"/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21">
      <c r="A4" s="8"/>
      <c r="F4" s="1"/>
      <c r="G4" s="1"/>
      <c r="H4" s="1"/>
      <c r="I4" s="1"/>
      <c r="J4" s="1"/>
      <c r="K4" s="1"/>
      <c r="L4" s="467" t="s">
        <v>668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>
      <c r="V5" s="1"/>
    </row>
    <row r="6" spans="1:82">
      <c r="A6" s="470" t="s">
        <v>45</v>
      </c>
      <c r="B6" s="471"/>
      <c r="C6" s="471"/>
      <c r="D6" s="471"/>
      <c r="E6" s="471"/>
      <c r="F6" s="472"/>
      <c r="G6" s="8"/>
      <c r="H6" s="8"/>
      <c r="I6" s="8"/>
      <c r="J6" s="8"/>
      <c r="K6" s="8"/>
      <c r="L6" s="470" t="s">
        <v>887</v>
      </c>
      <c r="M6" s="471"/>
      <c r="N6" s="471"/>
      <c r="O6" s="471"/>
      <c r="P6" s="471"/>
      <c r="Q6" s="472"/>
      <c r="R6" s="8"/>
      <c r="S6" s="8"/>
      <c r="T6" s="8"/>
      <c r="U6" s="8"/>
      <c r="V6" s="8"/>
      <c r="W6" s="113"/>
      <c r="X6" s="113"/>
      <c r="Y6" s="39" t="s">
        <v>12</v>
      </c>
      <c r="Z6" s="43" t="s">
        <v>5</v>
      </c>
      <c r="AA6" s="44" t="s">
        <v>11</v>
      </c>
      <c r="AB6" s="113"/>
      <c r="AC6" s="8"/>
      <c r="AD6" s="8"/>
      <c r="AE6" s="8"/>
      <c r="AF6" s="8"/>
      <c r="AG6" s="8"/>
    </row>
    <row r="7" spans="1:82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12" t="s">
        <v>6</v>
      </c>
      <c r="H7" s="11"/>
      <c r="I7" s="11" t="s">
        <v>7</v>
      </c>
      <c r="J7" s="11"/>
      <c r="L7" s="9" t="s">
        <v>0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R7" s="10" t="s">
        <v>6</v>
      </c>
      <c r="S7" s="11"/>
      <c r="T7" s="11" t="s">
        <v>7</v>
      </c>
      <c r="U7" s="11"/>
      <c r="W7" s="111"/>
      <c r="X7" s="111"/>
      <c r="Y7" t="s">
        <v>21</v>
      </c>
      <c r="Z7" s="47">
        <f>F14</f>
        <v>59.099999999999994</v>
      </c>
      <c r="AA7" s="40">
        <f t="shared" ref="AA7:AA8" si="0">SUMPRODUCT((Z$7:Z$8&gt;Z7)/COUNTIF(Z$7:Z$8,Z$7:Z$8&amp;""))+1</f>
        <v>2</v>
      </c>
      <c r="AB7" s="111"/>
      <c r="AC7" s="112" t="s">
        <v>6</v>
      </c>
      <c r="AD7" s="11"/>
      <c r="AE7" s="11" t="s">
        <v>7</v>
      </c>
      <c r="AF7" s="11"/>
    </row>
    <row r="8" spans="1:82">
      <c r="A8" s="12" t="s">
        <v>8</v>
      </c>
      <c r="B8" s="149">
        <v>135</v>
      </c>
      <c r="C8" s="93" t="s">
        <v>669</v>
      </c>
      <c r="D8" s="13">
        <v>8.1999999999999993</v>
      </c>
      <c r="E8" s="13">
        <v>5.8</v>
      </c>
      <c r="F8" s="13">
        <f>SUM(D8:E8)</f>
        <v>14</v>
      </c>
      <c r="G8" s="11">
        <f t="shared" ref="G8:G13" si="1">IF(A8="M",D8)</f>
        <v>8.1999999999999993</v>
      </c>
      <c r="H8" s="11" t="b">
        <f t="shared" ref="H8:H13" si="2">IF(A8="F",D8)</f>
        <v>0</v>
      </c>
      <c r="I8" s="11">
        <f t="shared" ref="I8:I13" si="3">IF(A8="M",E8)</f>
        <v>5.8</v>
      </c>
      <c r="J8" s="11" t="b">
        <f t="shared" ref="J8:J13" si="4">IF(A8="F",E8)</f>
        <v>0</v>
      </c>
      <c r="L8" s="12" t="s">
        <v>8</v>
      </c>
      <c r="M8" s="149">
        <v>141</v>
      </c>
      <c r="N8" s="100" t="s">
        <v>900</v>
      </c>
      <c r="O8" s="13">
        <v>8.1</v>
      </c>
      <c r="P8" s="13">
        <v>7.4</v>
      </c>
      <c r="Q8" s="13">
        <f>SUM(O8:P8)</f>
        <v>15.5</v>
      </c>
      <c r="R8" s="11">
        <f t="shared" ref="R8:R13" si="5">IF(L8="M",O8)</f>
        <v>8.1</v>
      </c>
      <c r="S8" s="11" t="b">
        <f t="shared" ref="S8:S13" si="6">IF(L8="F",O8)</f>
        <v>0</v>
      </c>
      <c r="T8" s="11">
        <f t="shared" ref="T8:T13" si="7">IF(L8="M",P8)</f>
        <v>7.4</v>
      </c>
      <c r="U8" s="11" t="b">
        <f t="shared" ref="U8:U13" si="8">IF(L8="F",P8)</f>
        <v>0</v>
      </c>
      <c r="W8" s="102"/>
      <c r="X8" s="152"/>
      <c r="Y8" t="s">
        <v>1261</v>
      </c>
      <c r="Z8" s="47">
        <f>Q14</f>
        <v>61.8</v>
      </c>
      <c r="AA8" s="40">
        <f t="shared" si="0"/>
        <v>1</v>
      </c>
      <c r="AB8" s="73"/>
      <c r="AC8" s="11" t="b">
        <f>IF(W8="M",#REF!)</f>
        <v>0</v>
      </c>
      <c r="AD8" s="11" t="b">
        <f>IF(W8="F",#REF!)</f>
        <v>0</v>
      </c>
      <c r="AE8" s="11" t="b">
        <f>IF(W8="M",#REF!)</f>
        <v>0</v>
      </c>
      <c r="AF8" s="11" t="b">
        <f>IF(W8="F",#REF!)</f>
        <v>0</v>
      </c>
    </row>
    <row r="9" spans="1:82">
      <c r="A9" s="12" t="s">
        <v>8</v>
      </c>
      <c r="B9" s="149">
        <v>136</v>
      </c>
      <c r="C9" s="93" t="s">
        <v>670</v>
      </c>
      <c r="D9" s="13">
        <v>8</v>
      </c>
      <c r="E9" s="13">
        <v>5.9</v>
      </c>
      <c r="F9" s="13">
        <f>SUM(D9:E9)</f>
        <v>13.9</v>
      </c>
      <c r="G9" s="11">
        <f t="shared" si="1"/>
        <v>8</v>
      </c>
      <c r="H9" s="11" t="b">
        <f t="shared" si="2"/>
        <v>0</v>
      </c>
      <c r="I9" s="11">
        <f t="shared" si="3"/>
        <v>5.9</v>
      </c>
      <c r="J9" s="11" t="b">
        <f t="shared" si="4"/>
        <v>0</v>
      </c>
      <c r="L9" s="12" t="s">
        <v>8</v>
      </c>
      <c r="M9" s="149">
        <v>142</v>
      </c>
      <c r="N9" s="100" t="s">
        <v>901</v>
      </c>
      <c r="O9" s="13">
        <v>8.15</v>
      </c>
      <c r="P9" s="13">
        <v>6.4</v>
      </c>
      <c r="Q9" s="13">
        <f>SUM(O9:P9)</f>
        <v>14.55</v>
      </c>
      <c r="R9" s="11">
        <f t="shared" si="5"/>
        <v>8.15</v>
      </c>
      <c r="S9" s="11" t="b">
        <f t="shared" si="6"/>
        <v>0</v>
      </c>
      <c r="T9" s="11">
        <f t="shared" si="7"/>
        <v>6.4</v>
      </c>
      <c r="U9" s="11" t="b">
        <f t="shared" si="8"/>
        <v>0</v>
      </c>
      <c r="W9" s="102"/>
      <c r="X9" s="152"/>
      <c r="Y9" s="54"/>
      <c r="Z9" s="62"/>
      <c r="AA9" s="210"/>
      <c r="AB9" s="73"/>
      <c r="AC9" s="11" t="b">
        <f>IF(W9="M",#REF!)</f>
        <v>0</v>
      </c>
      <c r="AD9" s="11" t="b">
        <f>IF(W9="F",#REF!)</f>
        <v>0</v>
      </c>
      <c r="AE9" s="11" t="b">
        <f>IF(W9="M",#REF!)</f>
        <v>0</v>
      </c>
      <c r="AF9" s="11" t="b">
        <f>IF(W9="F",#REF!)</f>
        <v>0</v>
      </c>
    </row>
    <row r="10" spans="1:82">
      <c r="A10" s="12" t="s">
        <v>8</v>
      </c>
      <c r="B10" s="149">
        <v>137</v>
      </c>
      <c r="C10" s="97"/>
      <c r="D10" s="13">
        <v>0</v>
      </c>
      <c r="E10" s="13">
        <v>0</v>
      </c>
      <c r="F10" s="13">
        <f t="shared" ref="F10:F13" si="9">SUM(D10:E10)</f>
        <v>0</v>
      </c>
      <c r="G10" s="11">
        <f t="shared" si="1"/>
        <v>0</v>
      </c>
      <c r="H10" s="11" t="b">
        <f t="shared" si="2"/>
        <v>0</v>
      </c>
      <c r="I10" s="11">
        <f t="shared" si="3"/>
        <v>0</v>
      </c>
      <c r="J10" s="11" t="b">
        <f t="shared" si="4"/>
        <v>0</v>
      </c>
      <c r="L10" s="12" t="s">
        <v>9</v>
      </c>
      <c r="M10" s="149">
        <v>143</v>
      </c>
      <c r="N10" s="100" t="s">
        <v>902</v>
      </c>
      <c r="O10" s="13">
        <v>8.0500000000000007</v>
      </c>
      <c r="P10" s="13">
        <v>6.8</v>
      </c>
      <c r="Q10" s="13">
        <f t="shared" ref="Q10:Q13" si="10">SUM(O10:P10)</f>
        <v>14.850000000000001</v>
      </c>
      <c r="R10" s="11" t="b">
        <f t="shared" si="5"/>
        <v>0</v>
      </c>
      <c r="S10" s="11">
        <f t="shared" si="6"/>
        <v>8.0500000000000007</v>
      </c>
      <c r="T10" s="11" t="b">
        <f t="shared" si="7"/>
        <v>0</v>
      </c>
      <c r="U10" s="11">
        <f t="shared" si="8"/>
        <v>6.8</v>
      </c>
      <c r="W10" s="102"/>
      <c r="X10" s="152"/>
      <c r="Y10" s="110"/>
      <c r="Z10" s="68"/>
      <c r="AA10" s="68"/>
      <c r="AB10" s="73"/>
      <c r="AC10" s="11" t="b">
        <f>IF(W10="M",Z9)</f>
        <v>0</v>
      </c>
      <c r="AD10" s="11" t="b">
        <f>IF(W10="F",Z9)</f>
        <v>0</v>
      </c>
      <c r="AE10" s="11" t="b">
        <f>IF(W10="M",AA9)</f>
        <v>0</v>
      </c>
      <c r="AF10" s="11" t="b">
        <f>IF(W10="F",AA9)</f>
        <v>0</v>
      </c>
    </row>
    <row r="11" spans="1:82">
      <c r="A11" s="12" t="s">
        <v>9</v>
      </c>
      <c r="B11" s="149">
        <v>138</v>
      </c>
      <c r="C11" s="93" t="s">
        <v>671</v>
      </c>
      <c r="D11" s="14">
        <v>8.9499999999999993</v>
      </c>
      <c r="E11" s="14">
        <v>7.3</v>
      </c>
      <c r="F11" s="13">
        <f t="shared" si="9"/>
        <v>16.25</v>
      </c>
      <c r="G11" s="15" t="b">
        <f t="shared" si="1"/>
        <v>0</v>
      </c>
      <c r="H11" s="15">
        <f t="shared" si="2"/>
        <v>8.9499999999999993</v>
      </c>
      <c r="I11" s="15" t="b">
        <f t="shared" si="3"/>
        <v>0</v>
      </c>
      <c r="J11" s="15">
        <f t="shared" si="4"/>
        <v>7.3</v>
      </c>
      <c r="K11" s="8"/>
      <c r="L11" s="12" t="s">
        <v>9</v>
      </c>
      <c r="M11" s="149">
        <v>144</v>
      </c>
      <c r="N11" s="100" t="s">
        <v>903</v>
      </c>
      <c r="O11" s="14">
        <v>8.5500000000000007</v>
      </c>
      <c r="P11" s="14">
        <v>7.2</v>
      </c>
      <c r="Q11" s="13">
        <f t="shared" si="10"/>
        <v>15.75</v>
      </c>
      <c r="R11" s="15" t="b">
        <f t="shared" si="5"/>
        <v>0</v>
      </c>
      <c r="S11" s="15">
        <f t="shared" si="6"/>
        <v>8.5500000000000007</v>
      </c>
      <c r="T11" s="15" t="b">
        <f t="shared" si="7"/>
        <v>0</v>
      </c>
      <c r="U11" s="15">
        <f t="shared" si="8"/>
        <v>7.2</v>
      </c>
      <c r="V11" s="8"/>
      <c r="W11" s="102"/>
      <c r="X11" s="152"/>
      <c r="Y11" s="110"/>
      <c r="Z11" s="68"/>
      <c r="AA11" s="68"/>
      <c r="AB11" s="73"/>
      <c r="AC11" s="15" t="b">
        <f>IF(W11="M",Z10)</f>
        <v>0</v>
      </c>
      <c r="AD11" s="15" t="b">
        <f>IF(W11="F",Z10)</f>
        <v>0</v>
      </c>
      <c r="AE11" s="15" t="b">
        <f>IF(W11="M",AA10)</f>
        <v>0</v>
      </c>
      <c r="AF11" s="15" t="b">
        <f>IF(W11="F",AA10)</f>
        <v>0</v>
      </c>
      <c r="AG11" s="8"/>
    </row>
    <row r="12" spans="1:82">
      <c r="A12" s="12" t="s">
        <v>9</v>
      </c>
      <c r="B12" s="149">
        <v>139</v>
      </c>
      <c r="C12" s="93" t="s">
        <v>672</v>
      </c>
      <c r="D12" s="14">
        <v>7.75</v>
      </c>
      <c r="E12" s="14">
        <v>6.3</v>
      </c>
      <c r="F12" s="13">
        <f t="shared" si="9"/>
        <v>14.05</v>
      </c>
      <c r="G12" s="15" t="b">
        <f t="shared" si="1"/>
        <v>0</v>
      </c>
      <c r="H12" s="15">
        <f t="shared" si="2"/>
        <v>7.75</v>
      </c>
      <c r="I12" s="15" t="b">
        <f t="shared" si="3"/>
        <v>0</v>
      </c>
      <c r="J12" s="15">
        <f t="shared" si="4"/>
        <v>6.3</v>
      </c>
      <c r="K12" s="8"/>
      <c r="L12" s="12" t="s">
        <v>9</v>
      </c>
      <c r="M12" s="149">
        <v>145</v>
      </c>
      <c r="N12" s="100" t="s">
        <v>904</v>
      </c>
      <c r="O12" s="14">
        <v>8.5</v>
      </c>
      <c r="P12" s="14">
        <v>7.5</v>
      </c>
      <c r="Q12" s="13">
        <f t="shared" si="10"/>
        <v>16</v>
      </c>
      <c r="R12" s="15" t="b">
        <f t="shared" si="5"/>
        <v>0</v>
      </c>
      <c r="S12" s="15">
        <f t="shared" si="6"/>
        <v>8.5</v>
      </c>
      <c r="T12" s="15" t="b">
        <f t="shared" si="7"/>
        <v>0</v>
      </c>
      <c r="U12" s="15">
        <f t="shared" si="8"/>
        <v>7.5</v>
      </c>
      <c r="V12" s="8"/>
      <c r="W12" s="102"/>
      <c r="X12" s="152"/>
      <c r="Y12" s="110"/>
      <c r="Z12" s="68"/>
      <c r="AA12" s="68"/>
      <c r="AB12" s="73"/>
      <c r="AC12" s="15" t="b">
        <f>IF(W12="M",Z11)</f>
        <v>0</v>
      </c>
      <c r="AD12" s="15" t="b">
        <f>IF(W12="F",Z11)</f>
        <v>0</v>
      </c>
      <c r="AE12" s="15" t="b">
        <f>IF(W12="M",AA11)</f>
        <v>0</v>
      </c>
      <c r="AF12" s="15" t="b">
        <f>IF(W12="F",AA11)</f>
        <v>0</v>
      </c>
      <c r="AG12" s="8"/>
    </row>
    <row r="13" spans="1:82" ht="16.5" thickBot="1">
      <c r="A13" s="12" t="s">
        <v>9</v>
      </c>
      <c r="B13" s="149">
        <v>140</v>
      </c>
      <c r="C13" s="100" t="s">
        <v>673</v>
      </c>
      <c r="D13" s="14">
        <v>8.65</v>
      </c>
      <c r="E13" s="14">
        <v>6.1</v>
      </c>
      <c r="F13" s="13">
        <f t="shared" si="9"/>
        <v>14.75</v>
      </c>
      <c r="G13" s="15" t="b">
        <f t="shared" si="1"/>
        <v>0</v>
      </c>
      <c r="H13" s="15">
        <f t="shared" si="2"/>
        <v>8.65</v>
      </c>
      <c r="I13" s="15" t="b">
        <f t="shared" si="3"/>
        <v>0</v>
      </c>
      <c r="J13" s="15">
        <f t="shared" si="4"/>
        <v>6.1</v>
      </c>
      <c r="K13" s="8"/>
      <c r="L13" s="12" t="s">
        <v>9</v>
      </c>
      <c r="M13" s="149">
        <v>146</v>
      </c>
      <c r="N13" s="100" t="s">
        <v>905</v>
      </c>
      <c r="O13" s="14">
        <v>8.4</v>
      </c>
      <c r="P13" s="14">
        <v>0</v>
      </c>
      <c r="Q13" s="13">
        <f t="shared" si="10"/>
        <v>8.4</v>
      </c>
      <c r="R13" s="15" t="b">
        <f t="shared" si="5"/>
        <v>0</v>
      </c>
      <c r="S13" s="15">
        <f t="shared" si="6"/>
        <v>8.4</v>
      </c>
      <c r="T13" s="15" t="b">
        <f t="shared" si="7"/>
        <v>0</v>
      </c>
      <c r="U13" s="15">
        <f t="shared" si="8"/>
        <v>0</v>
      </c>
      <c r="V13" s="8"/>
      <c r="W13" s="102"/>
      <c r="X13" s="152"/>
      <c r="Y13" s="84"/>
      <c r="Z13" s="64"/>
      <c r="AA13" s="64"/>
      <c r="AB13" s="73"/>
      <c r="AC13" s="15" t="b">
        <f>IF(W13="M",Z12)</f>
        <v>0</v>
      </c>
      <c r="AD13" s="15" t="b">
        <f>IF(W13="F",Z12)</f>
        <v>0</v>
      </c>
      <c r="AE13" s="15" t="b">
        <f>IF(W13="M",AA12)</f>
        <v>0</v>
      </c>
      <c r="AF13" s="15" t="b">
        <f>IF(W13="F",AA12)</f>
        <v>0</v>
      </c>
      <c r="AG13" s="8"/>
    </row>
    <row r="14" spans="1:82" ht="16.5" thickBot="1">
      <c r="A14" s="8"/>
      <c r="B14" s="8"/>
      <c r="C14" s="18" t="s">
        <v>10</v>
      </c>
      <c r="D14" s="19">
        <f>G15+H15</f>
        <v>33.799999999999997</v>
      </c>
      <c r="E14" s="19">
        <f>I15+J15</f>
        <v>25.299999999999997</v>
      </c>
      <c r="F14" s="20">
        <f>SUM(D14:E14)</f>
        <v>59.099999999999994</v>
      </c>
      <c r="G14" s="8">
        <f>COUNTIF(A8:A13,"M")</f>
        <v>3</v>
      </c>
      <c r="H14" s="8">
        <f>COUNTIF(A8:A13,"F")</f>
        <v>3</v>
      </c>
      <c r="I14" s="8">
        <f>COUNTIF(A8:A13,"M")</f>
        <v>3</v>
      </c>
      <c r="J14" s="8">
        <f>COUNTIF(A8:A13,"F")</f>
        <v>3</v>
      </c>
      <c r="K14" s="8"/>
      <c r="L14" s="8"/>
      <c r="M14" s="8"/>
      <c r="N14" s="18" t="s">
        <v>10</v>
      </c>
      <c r="O14" s="19">
        <f>R15+S15</f>
        <v>33.299999999999997</v>
      </c>
      <c r="P14" s="19">
        <f>T15+U15</f>
        <v>28.5</v>
      </c>
      <c r="Q14" s="20">
        <f>SUM(O14:P14)</f>
        <v>61.8</v>
      </c>
      <c r="R14" s="8">
        <f>COUNTIF(L8:L13,"M")</f>
        <v>2</v>
      </c>
      <c r="S14" s="8">
        <f>COUNTIF(L8:L13,"F")</f>
        <v>4</v>
      </c>
      <c r="T14" s="8">
        <f>COUNTIF(L8:L13,"M")</f>
        <v>2</v>
      </c>
      <c r="U14" s="8">
        <f>COUNTIF(L8:L13,"F")</f>
        <v>4</v>
      </c>
      <c r="V14" s="8"/>
      <c r="W14" s="106"/>
      <c r="X14" s="106"/>
      <c r="Y14" s="8"/>
      <c r="Z14" s="8"/>
      <c r="AA14" s="18"/>
      <c r="AB14" s="105"/>
      <c r="AC14" s="8">
        <f>COUNTIF(W8:W13,"M")</f>
        <v>0</v>
      </c>
      <c r="AD14" s="8">
        <f>COUNTIF(W8:W13,"F")</f>
        <v>0</v>
      </c>
      <c r="AE14" s="8">
        <f>COUNTIF(W8:W13,"M")</f>
        <v>0</v>
      </c>
      <c r="AF14" s="8">
        <f>COUNTIF(W8:W13,"F")</f>
        <v>0</v>
      </c>
      <c r="AG14" s="8"/>
    </row>
    <row r="15" spans="1:82">
      <c r="A15" s="8"/>
      <c r="B15" s="21"/>
      <c r="C15" s="94" t="s">
        <v>1302</v>
      </c>
      <c r="D15" s="8"/>
      <c r="E15" s="18"/>
      <c r="F15" s="22"/>
      <c r="G15" s="23">
        <f>IF(G14=2,SUM(G8:G13),IF(G14=3,SUM(G8:G13)-SMALL(G8:G13,1),IF(G14=4,SUM(G8:G13)-SMALL(G8:G13,1)-SMALL(G8:G13,2))))</f>
        <v>16.2</v>
      </c>
      <c r="H15" s="23">
        <f>IF(H14=2,SUM(H8:H13),IF(H14=3,SUM(H8:H13)-SMALL(H8:H13,1),IF(H14=4,SUM(H8:H13)-SMALL(H8:H13,1)-SMALL(H8:H13,2))))</f>
        <v>17.600000000000001</v>
      </c>
      <c r="I15" s="23">
        <f>IF(I14=2,SUM(I8:I13),IF(I14=3,SUM(I8:I13)-SMALL(I8:I13,1),IF(I14=4,SUM(I8:I13)-SMALL(I8:I13,1)-SMALL(I8:I13,2))))</f>
        <v>11.7</v>
      </c>
      <c r="J15" s="23">
        <f>IF(J14=2,SUM(J8:J13),IF(J14=3,SUM(J8:J13)-SMALL(J8:J13,1),IF(J14=4,SUM(J8:J13)-SMALL(J8:J13,1)-SMALL(J8:J13,2))))</f>
        <v>13.6</v>
      </c>
      <c r="K15" s="8"/>
      <c r="L15" s="8"/>
      <c r="M15" s="21"/>
      <c r="N15" s="94" t="s">
        <v>1302</v>
      </c>
      <c r="O15" s="8"/>
      <c r="P15" s="18"/>
      <c r="Q15" s="22"/>
      <c r="R15" s="23">
        <f>IF(R14=2,SUM(R8:R13),IF(R14=3,SUM(R8:R13)-SMALL(R8:R13,1),IF(R14=4,SUM(R8:R13)-SMALL(R8:R13,1)-SMALL(R8:R13,2))))</f>
        <v>16.25</v>
      </c>
      <c r="S15" s="23">
        <f>IF(S14=2,SUM(S8:S13),IF(S14=3,SUM(S8:S13)-SMALL(S8:S13,1),IF(S14=4,SUM(S8:S13)-SMALL(S8:S13,1)-SMALL(S8:S13,2))))</f>
        <v>17.049999999999997</v>
      </c>
      <c r="T15" s="23">
        <f>IF(T14=2,SUM(T8:T13),IF(T14=3,SUM(T8:T13)-SMALL(T8:T13,1),IF(T14=4,SUM(T8:T13)-SMALL(T8:T13,1)-SMALL(T8:T13,2))))</f>
        <v>13.8</v>
      </c>
      <c r="U15" s="23">
        <f>IF(U14=2,SUM(U8:U13),IF(U14=3,SUM(U8:U13)-SMALL(U8:U13,1),IF(U14=4,SUM(U8:U13)-SMALL(U8:U13,1)-SMALL(U8:U13,2))))</f>
        <v>14.7</v>
      </c>
      <c r="V15" s="8"/>
      <c r="W15" s="8"/>
      <c r="X15" s="21"/>
      <c r="AB15" s="22"/>
      <c r="AC15" s="23" t="b">
        <f>IF(AC14=2,SUM(AC8:AC13),IF(AC14=3,SUM(AC8:AC13)-SMALL(AC8:AC13,1),IF(AC14=4,SUM(AC8:AC13)-SMALL(AC8:AC13,1)-SMALL(AC8:AC13,2))))</f>
        <v>0</v>
      </c>
      <c r="AD15" s="23" t="b">
        <f>IF(AD14=2,SUM(AD8:AD13),IF(AD14=3,SUM(AD8:AD13)-SMALL(AD8:AD13,1),IF(AD14=4,SUM(AD8:AD13)-SMALL(AD8:AD13,1)-SMALL(AD8:AD13,2))))</f>
        <v>0</v>
      </c>
      <c r="AE15" s="23" t="b">
        <f>IF(AE14=2,SUM(AE8:AE13),IF(AE14=3,SUM(AE8:AE13)-SMALL(AE8:AE13,1),IF(AE14=4,SUM(AE8:AE13)-SMALL(AE8:AE13,1)-SMALL(AE8:AE13,2))))</f>
        <v>0</v>
      </c>
      <c r="AF15" s="23" t="b">
        <f>IF(AF14=2,SUM(AF8:AF13),IF(AF14=3,SUM(AF8:AF13)-SMALL(AF8:AF13,1),IF(AF14=4,SUM(AF8:AF13)-SMALL(AF8:AF13,1)-SMALL(AF8:AF13,2))))</f>
        <v>0</v>
      </c>
      <c r="AG15" s="8"/>
    </row>
    <row r="16" spans="1:82">
      <c r="A16" s="113"/>
      <c r="B16" s="113"/>
      <c r="C16" s="113"/>
      <c r="D16" s="113"/>
      <c r="E16" s="113"/>
      <c r="F16" s="113"/>
      <c r="G16" s="8"/>
      <c r="H16" s="8"/>
      <c r="I16" s="8"/>
      <c r="J16" s="8"/>
      <c r="K16" s="8"/>
      <c r="L16" s="216"/>
      <c r="M16" s="216"/>
      <c r="Q16" s="216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8" customFormat="1">
      <c r="A17" s="111"/>
      <c r="B17" s="111"/>
      <c r="C17" s="111"/>
      <c r="D17" s="111"/>
      <c r="E17" s="111"/>
      <c r="F17" s="111"/>
      <c r="L17" s="111"/>
      <c r="M17" s="111"/>
      <c r="Q17" s="111"/>
      <c r="Y17"/>
      <c r="Z17"/>
      <c r="AA17"/>
    </row>
    <row r="18" spans="1:28">
      <c r="A18" s="102"/>
      <c r="B18" s="152"/>
      <c r="C18" s="110"/>
      <c r="D18" s="73"/>
      <c r="E18" s="73"/>
      <c r="F18" s="73"/>
      <c r="G18" s="112" t="b">
        <f t="shared" ref="G18:G23" si="11">IF(A18="M",D18)</f>
        <v>0</v>
      </c>
      <c r="H18" s="15" t="b">
        <f t="shared" ref="H18:H23" si="12">IF(A18="F",D18)</f>
        <v>0</v>
      </c>
      <c r="I18" s="15" t="b">
        <f t="shared" ref="I18:I23" si="13">IF(A18="M",E18)</f>
        <v>0</v>
      </c>
      <c r="J18" s="15" t="b">
        <f t="shared" ref="J18:J23" si="14">IF(A18="F",E18)</f>
        <v>0</v>
      </c>
      <c r="K18" s="8"/>
      <c r="L18" s="102"/>
      <c r="M18" s="152"/>
      <c r="Q18" s="73"/>
      <c r="R18" s="112"/>
      <c r="S18" s="15"/>
      <c r="T18" s="15"/>
      <c r="U18" s="15"/>
      <c r="V18" s="8"/>
      <c r="W18" s="8"/>
      <c r="X18" s="8"/>
      <c r="AB18" s="8"/>
    </row>
    <row r="19" spans="1:28">
      <c r="A19" s="102"/>
      <c r="B19" s="152"/>
      <c r="C19" s="110"/>
      <c r="D19" s="73"/>
      <c r="E19" s="73"/>
      <c r="F19" s="73"/>
      <c r="G19" s="15" t="b">
        <f t="shared" si="11"/>
        <v>0</v>
      </c>
      <c r="H19" s="15" t="b">
        <f t="shared" si="12"/>
        <v>0</v>
      </c>
      <c r="I19" s="15" t="b">
        <f t="shared" si="13"/>
        <v>0</v>
      </c>
      <c r="J19" s="15" t="b">
        <f t="shared" si="14"/>
        <v>0</v>
      </c>
      <c r="K19" s="8"/>
      <c r="L19" s="102"/>
      <c r="M19" s="152"/>
      <c r="Q19" s="73"/>
      <c r="R19" s="15"/>
      <c r="S19" s="15"/>
      <c r="T19" s="15"/>
      <c r="U19" s="15"/>
      <c r="V19" s="8"/>
      <c r="X19" s="8"/>
      <c r="AB19" s="8"/>
    </row>
    <row r="20" spans="1:28">
      <c r="A20" s="102"/>
      <c r="B20" s="152"/>
      <c r="C20" s="110"/>
      <c r="D20" s="73"/>
      <c r="E20" s="73"/>
      <c r="F20" s="73"/>
      <c r="G20" s="15" t="b">
        <f t="shared" si="11"/>
        <v>0</v>
      </c>
      <c r="H20" s="15" t="b">
        <f t="shared" si="12"/>
        <v>0</v>
      </c>
      <c r="I20" s="15" t="b">
        <f t="shared" si="13"/>
        <v>0</v>
      </c>
      <c r="J20" s="15" t="b">
        <f t="shared" si="14"/>
        <v>0</v>
      </c>
      <c r="K20" s="8"/>
      <c r="L20" s="102"/>
      <c r="M20" s="152"/>
      <c r="Q20" s="73"/>
      <c r="R20" s="15"/>
      <c r="S20" s="15"/>
      <c r="T20" s="15"/>
      <c r="U20" s="15"/>
      <c r="V20" s="8"/>
      <c r="X20" s="8"/>
      <c r="AB20" s="8"/>
    </row>
    <row r="21" spans="1:28">
      <c r="A21" s="102"/>
      <c r="B21" s="152"/>
      <c r="C21" s="110"/>
      <c r="D21" s="68"/>
      <c r="E21" s="68"/>
      <c r="F21" s="73"/>
      <c r="G21" s="15" t="b">
        <f t="shared" si="11"/>
        <v>0</v>
      </c>
      <c r="H21" s="15" t="b">
        <f t="shared" si="12"/>
        <v>0</v>
      </c>
      <c r="I21" s="15" t="b">
        <f t="shared" si="13"/>
        <v>0</v>
      </c>
      <c r="J21" s="15" t="b">
        <f t="shared" si="14"/>
        <v>0</v>
      </c>
      <c r="K21" s="8"/>
      <c r="L21" s="102"/>
      <c r="M21" s="152"/>
      <c r="N21" s="110"/>
      <c r="O21" s="68"/>
      <c r="P21" s="68"/>
      <c r="Q21" s="73"/>
      <c r="R21" s="15"/>
      <c r="S21" s="15"/>
      <c r="T21" s="15"/>
      <c r="U21" s="15"/>
      <c r="V21" s="8"/>
      <c r="X21" s="8"/>
      <c r="AB21" s="8"/>
    </row>
    <row r="22" spans="1:28">
      <c r="A22" s="102"/>
      <c r="B22" s="152"/>
      <c r="C22" s="110"/>
      <c r="D22" s="68"/>
      <c r="E22" s="68"/>
      <c r="F22" s="73"/>
      <c r="G22" t="b">
        <f t="shared" si="11"/>
        <v>0</v>
      </c>
      <c r="H22" t="b">
        <f t="shared" si="12"/>
        <v>0</v>
      </c>
      <c r="I22" t="b">
        <f t="shared" si="13"/>
        <v>0</v>
      </c>
      <c r="J22" t="b">
        <f t="shared" si="14"/>
        <v>0</v>
      </c>
      <c r="L22" s="102"/>
      <c r="M22" s="152"/>
      <c r="N22" s="84"/>
      <c r="O22" s="64"/>
      <c r="P22" s="64"/>
      <c r="Q22" s="73"/>
    </row>
    <row r="23" spans="1:28">
      <c r="A23" s="102"/>
      <c r="B23" s="152"/>
      <c r="C23" s="110"/>
      <c r="D23" s="68"/>
      <c r="E23" s="68"/>
      <c r="F23" s="73"/>
      <c r="G23" t="b">
        <f t="shared" si="11"/>
        <v>0</v>
      </c>
      <c r="H23" t="b">
        <f t="shared" si="12"/>
        <v>0</v>
      </c>
      <c r="I23" t="b">
        <f t="shared" si="13"/>
        <v>0</v>
      </c>
      <c r="J23" t="b">
        <f t="shared" si="14"/>
        <v>0</v>
      </c>
      <c r="L23" s="102"/>
      <c r="M23" s="152"/>
      <c r="Q23" s="73"/>
    </row>
    <row r="24" spans="1:28">
      <c r="A24" s="106"/>
      <c r="B24" s="106"/>
      <c r="C24" s="84"/>
      <c r="D24" s="64"/>
      <c r="E24" s="64"/>
      <c r="F24" s="105"/>
      <c r="G24">
        <f>COUNTIF(A18:A23,"M")</f>
        <v>0</v>
      </c>
      <c r="H24">
        <f>COUNTIF(A18:A23,"F")</f>
        <v>0</v>
      </c>
      <c r="I24">
        <f>COUNTIF(A18:A23,"M")</f>
        <v>0</v>
      </c>
      <c r="J24">
        <f>COUNTIF(A18:A23,"F")</f>
        <v>0</v>
      </c>
      <c r="L24" s="106"/>
      <c r="M24" s="106"/>
      <c r="Q24" s="105"/>
    </row>
    <row r="25" spans="1:28">
      <c r="C25" s="70"/>
      <c r="G25" t="b">
        <f>IF(G24=2,SUM(G18:G23),IF(G24=3,SUM(G18:G23)-SMALL(G18:G23,1),IF(G24=4,SUM(G18:G23)-SMALL(G18:G23,1)-SMALL(G18:G23,2))))</f>
        <v>0</v>
      </c>
      <c r="H25" t="b">
        <f>IF(H24=2,SUM(H18:H23),IF(H24=3,SUM(H18:H23)-SMALL(H18:H23,1),IF(H24=4,SUM(H18:H23)-SMALL(H18:H23,1)-SMALL(H18:H23,2))))</f>
        <v>0</v>
      </c>
      <c r="I25" t="b">
        <f>IF(I24=2,SUM(I18:I23),IF(I24=3,SUM(I18:I23)-SMALL(I18:I23,1),IF(I24=4,SUM(I18:I23)-SMALL(I18:I23,1)-SMALL(I18:I23,2))))</f>
        <v>0</v>
      </c>
      <c r="J25" t="b">
        <f>IF(J24=2,SUM(J18:J23),IF(J24=3,SUM(J18:J23)-SMALL(J18:J23,1),IF(J24=4,SUM(J18:J23)-SMALL(J18:J23,1)-SMALL(J18:J23,2))))</f>
        <v>0</v>
      </c>
    </row>
    <row r="26" spans="1:28">
      <c r="C26" s="70"/>
    </row>
    <row r="27" spans="1:28">
      <c r="C27" s="70"/>
    </row>
  </sheetData>
  <mergeCells count="5">
    <mergeCell ref="A1:AB1"/>
    <mergeCell ref="A2:AB2"/>
    <mergeCell ref="L4:O4"/>
    <mergeCell ref="A6:F6"/>
    <mergeCell ref="L6:Q6"/>
  </mergeCells>
  <phoneticPr fontId="21" type="noConversion"/>
  <conditionalFormatting sqref="AA8">
    <cfRule type="cellIs" dxfId="1036" priority="7" operator="equal">
      <formula>3</formula>
    </cfRule>
    <cfRule type="cellIs" dxfId="1035" priority="8" operator="equal">
      <formula>2</formula>
    </cfRule>
    <cfRule type="cellIs" dxfId="1034" priority="9" operator="equal">
      <formula>1</formula>
    </cfRule>
  </conditionalFormatting>
  <conditionalFormatting sqref="AA7">
    <cfRule type="cellIs" dxfId="1033" priority="1" operator="equal">
      <formula>3</formula>
    </cfRule>
    <cfRule type="cellIs" dxfId="1032" priority="2" operator="equal">
      <formula>2</formula>
    </cfRule>
    <cfRule type="cellIs" dxfId="1031" priority="3" operator="equal">
      <formula>1</formula>
    </cfRule>
  </conditionalFormatting>
  <pageMargins left="0.7" right="0.7" top="0.75" bottom="0.75" header="0.3" footer="0.3"/>
  <pageSetup paperSize="9" scale="71" orientation="landscape" horizontalDpi="4294967292" verticalDpi="4294967292"/>
  <colBreaks count="1" manualBreakCount="1">
    <brk id="34" max="1048575" man="1"/>
  </colBreaks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C15"/>
  <sheetViews>
    <sheetView zoomScale="90" zoomScaleNormal="90" zoomScalePageLayoutView="90" workbookViewId="0">
      <selection activeCell="Q20" sqref="Q20"/>
    </sheetView>
  </sheetViews>
  <sheetFormatPr defaultColWidth="8.875" defaultRowHeight="15.75"/>
  <cols>
    <col min="1" max="1" width="5.5" bestFit="1" customWidth="1"/>
    <col min="2" max="2" width="4.625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4.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</cols>
  <sheetData>
    <row r="1" spans="1:81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</row>
    <row r="2" spans="1:81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0"/>
      <c r="BI2" s="90"/>
    </row>
    <row r="3" spans="1:81" ht="23.25"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21">
      <c r="A4" s="8"/>
      <c r="F4" s="1"/>
      <c r="G4" s="1"/>
      <c r="H4" s="1"/>
      <c r="I4" s="1"/>
      <c r="J4" s="1"/>
      <c r="K4" s="1"/>
      <c r="L4" s="467" t="s">
        <v>1235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>
      <c r="V5" s="1"/>
    </row>
    <row r="6" spans="1:81">
      <c r="A6" s="470" t="s">
        <v>201</v>
      </c>
      <c r="B6" s="471"/>
      <c r="C6" s="471"/>
      <c r="D6" s="471"/>
      <c r="E6" s="471"/>
      <c r="F6" s="472"/>
      <c r="G6" s="8"/>
      <c r="H6" s="8"/>
      <c r="I6" s="8"/>
      <c r="J6" s="8"/>
      <c r="K6" s="8"/>
      <c r="L6" s="113"/>
      <c r="M6" s="113"/>
      <c r="N6" s="39" t="s">
        <v>12</v>
      </c>
      <c r="O6" s="43" t="s">
        <v>5</v>
      </c>
      <c r="P6" s="44" t="s">
        <v>11</v>
      </c>
      <c r="Q6" s="113"/>
      <c r="R6" s="106"/>
      <c r="S6" s="106"/>
      <c r="T6" s="106"/>
      <c r="U6" s="106"/>
      <c r="V6" s="106"/>
      <c r="W6" s="113"/>
      <c r="X6" s="113"/>
      <c r="Y6" s="113"/>
      <c r="Z6" s="113"/>
      <c r="AA6" s="113"/>
      <c r="AB6" s="113"/>
      <c r="AC6" s="8"/>
      <c r="AD6" s="8"/>
      <c r="AE6" s="8"/>
      <c r="AF6" s="8"/>
      <c r="AG6" s="8"/>
    </row>
    <row r="7" spans="1:8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11"/>
      <c r="I7" s="11" t="s">
        <v>7</v>
      </c>
      <c r="J7" s="11"/>
      <c r="L7" s="111"/>
      <c r="M7" s="111"/>
      <c r="N7" s="45" t="s">
        <v>218</v>
      </c>
      <c r="O7" s="47">
        <f>F14</f>
        <v>68.55</v>
      </c>
      <c r="P7" s="40">
        <f>SUMPRODUCT((O$7:O$7&gt;O7)/COUNTIF(O$7:O$7,O$7:O$7&amp;""))+1</f>
        <v>1</v>
      </c>
      <c r="Q7" s="111"/>
      <c r="R7" s="116" t="s">
        <v>6</v>
      </c>
      <c r="S7" s="117"/>
      <c r="T7" s="117" t="s">
        <v>7</v>
      </c>
      <c r="U7" s="117"/>
      <c r="V7" s="1"/>
      <c r="W7" s="111"/>
      <c r="X7" s="111"/>
      <c r="Y7" s="111"/>
      <c r="Z7" s="111"/>
      <c r="AA7" s="111"/>
      <c r="AB7" s="111"/>
      <c r="AC7" s="112" t="s">
        <v>6</v>
      </c>
      <c r="AD7" s="11"/>
      <c r="AE7" s="11" t="s">
        <v>7</v>
      </c>
      <c r="AF7" s="11"/>
    </row>
    <row r="8" spans="1:81">
      <c r="A8" s="12" t="s">
        <v>8</v>
      </c>
      <c r="B8" s="149">
        <v>990</v>
      </c>
      <c r="C8" s="93" t="s">
        <v>520</v>
      </c>
      <c r="D8" s="13">
        <v>8.5</v>
      </c>
      <c r="E8" s="13">
        <v>8.6999999999999993</v>
      </c>
      <c r="F8" s="13">
        <f>SUM(D8:E8)</f>
        <v>17.2</v>
      </c>
      <c r="G8" s="11">
        <f t="shared" ref="G8:G13" si="0">IF(A8="M",D8)</f>
        <v>8.5</v>
      </c>
      <c r="H8" s="11" t="b">
        <f t="shared" ref="H8:H13" si="1">IF(A8="F",D8)</f>
        <v>0</v>
      </c>
      <c r="I8" s="11">
        <f t="shared" ref="I8:I13" si="2">IF(A8="M",E8)</f>
        <v>8.6999999999999993</v>
      </c>
      <c r="J8" s="11" t="b">
        <f t="shared" ref="J8:J13" si="3">IF(A8="F",E8)</f>
        <v>0</v>
      </c>
      <c r="L8" s="102"/>
      <c r="M8" s="102"/>
      <c r="N8" s="103"/>
      <c r="O8" s="73"/>
      <c r="P8" s="73"/>
      <c r="Q8" s="73"/>
      <c r="R8" s="117" t="b">
        <f t="shared" ref="R8:R9" si="4">IF(L8="M",O8)</f>
        <v>0</v>
      </c>
      <c r="S8" s="117" t="b">
        <f t="shared" ref="S8:S9" si="5">IF(L8="F",O8)</f>
        <v>0</v>
      </c>
      <c r="T8" s="117" t="b">
        <f t="shared" ref="T8:T9" si="6">IF(L8="M",P8)</f>
        <v>0</v>
      </c>
      <c r="U8" s="117" t="b">
        <f t="shared" ref="U8:U9" si="7">IF(L8="F",P8)</f>
        <v>0</v>
      </c>
      <c r="V8" s="1"/>
      <c r="W8" s="102"/>
      <c r="X8" s="102"/>
      <c r="Y8" s="103"/>
      <c r="Z8" s="73"/>
      <c r="AA8" s="73"/>
      <c r="AB8" s="73"/>
      <c r="AC8" s="11" t="b">
        <f t="shared" ref="AC8:AC13" si="8">IF(W8="M",Z8)</f>
        <v>0</v>
      </c>
      <c r="AD8" s="11" t="b">
        <f t="shared" ref="AD8:AD13" si="9">IF(W8="F",Z8)</f>
        <v>0</v>
      </c>
      <c r="AE8" s="11" t="b">
        <f t="shared" ref="AE8:AE13" si="10">IF(W8="M",AA8)</f>
        <v>0</v>
      </c>
      <c r="AF8" s="11" t="b">
        <f t="shared" ref="AF8:AF13" si="11">IF(W8="F",AA8)</f>
        <v>0</v>
      </c>
    </row>
    <row r="9" spans="1:81">
      <c r="A9" s="12" t="s">
        <v>8</v>
      </c>
      <c r="B9" s="149">
        <v>991</v>
      </c>
      <c r="C9" t="s">
        <v>1230</v>
      </c>
      <c r="D9" s="13">
        <v>9.3000000000000007</v>
      </c>
      <c r="E9" s="13">
        <v>8.1999999999999993</v>
      </c>
      <c r="F9" s="13">
        <f>SUM(D9:E9)</f>
        <v>17.5</v>
      </c>
      <c r="G9" s="11">
        <f t="shared" si="0"/>
        <v>9.3000000000000007</v>
      </c>
      <c r="H9" s="11" t="b">
        <f t="shared" si="1"/>
        <v>0</v>
      </c>
      <c r="I9" s="11">
        <f t="shared" si="2"/>
        <v>8.1999999999999993</v>
      </c>
      <c r="J9" s="11" t="b">
        <f t="shared" si="3"/>
        <v>0</v>
      </c>
      <c r="L9" s="102"/>
      <c r="M9" s="102"/>
      <c r="N9" s="103"/>
      <c r="O9" s="73"/>
      <c r="P9" s="73"/>
      <c r="Q9" s="73"/>
      <c r="R9" s="117" t="b">
        <f t="shared" si="4"/>
        <v>0</v>
      </c>
      <c r="S9" s="117" t="b">
        <f t="shared" si="5"/>
        <v>0</v>
      </c>
      <c r="T9" s="117" t="b">
        <f t="shared" si="6"/>
        <v>0</v>
      </c>
      <c r="U9" s="117" t="b">
        <f t="shared" si="7"/>
        <v>0</v>
      </c>
      <c r="V9" s="1"/>
      <c r="W9" s="102"/>
      <c r="X9" s="102"/>
      <c r="Y9" s="103"/>
      <c r="Z9" s="73"/>
      <c r="AA9" s="73"/>
      <c r="AB9" s="73"/>
      <c r="AC9" s="11" t="b">
        <f t="shared" si="8"/>
        <v>0</v>
      </c>
      <c r="AD9" s="11" t="b">
        <f t="shared" si="9"/>
        <v>0</v>
      </c>
      <c r="AE9" s="11" t="b">
        <f t="shared" si="10"/>
        <v>0</v>
      </c>
      <c r="AF9" s="11" t="b">
        <f t="shared" si="11"/>
        <v>0</v>
      </c>
    </row>
    <row r="10" spans="1:81">
      <c r="A10" s="12" t="s">
        <v>8</v>
      </c>
      <c r="B10" s="149">
        <v>992</v>
      </c>
      <c r="C10" s="93" t="s">
        <v>1231</v>
      </c>
      <c r="D10" s="13">
        <v>7.3</v>
      </c>
      <c r="E10" s="13">
        <v>8.6</v>
      </c>
      <c r="F10" s="13">
        <f t="shared" ref="F10:F13" si="12">SUM(D10:E10)</f>
        <v>15.899999999999999</v>
      </c>
      <c r="G10" s="11">
        <f t="shared" si="0"/>
        <v>7.3</v>
      </c>
      <c r="H10" s="11" t="b">
        <f t="shared" si="1"/>
        <v>0</v>
      </c>
      <c r="I10" s="11">
        <f t="shared" si="2"/>
        <v>8.6</v>
      </c>
      <c r="J10" s="11" t="b">
        <f t="shared" si="3"/>
        <v>0</v>
      </c>
      <c r="L10" s="102"/>
      <c r="M10" s="102"/>
      <c r="N10" s="103"/>
      <c r="O10" s="73"/>
      <c r="P10" s="73"/>
      <c r="Q10" s="73"/>
      <c r="R10" s="117" t="b">
        <f>IF(L11="M",O10)</f>
        <v>0</v>
      </c>
      <c r="S10" s="117" t="b">
        <f>IF(L11="F",O10)</f>
        <v>0</v>
      </c>
      <c r="T10" s="117" t="b">
        <f>IF(L11="M",P10)</f>
        <v>0</v>
      </c>
      <c r="U10" s="117" t="b">
        <f>IF(L11="F",P10)</f>
        <v>0</v>
      </c>
      <c r="V10" s="1"/>
      <c r="W10" s="102"/>
      <c r="X10" s="102"/>
      <c r="Y10" s="103"/>
      <c r="Z10" s="73"/>
      <c r="AA10" s="73"/>
      <c r="AB10" s="73"/>
      <c r="AC10" s="11" t="b">
        <f t="shared" si="8"/>
        <v>0</v>
      </c>
      <c r="AD10" s="11" t="b">
        <f t="shared" si="9"/>
        <v>0</v>
      </c>
      <c r="AE10" s="11" t="b">
        <f t="shared" si="10"/>
        <v>0</v>
      </c>
      <c r="AF10" s="11" t="b">
        <f t="shared" si="11"/>
        <v>0</v>
      </c>
    </row>
    <row r="11" spans="1:81">
      <c r="A11" s="12" t="s">
        <v>9</v>
      </c>
      <c r="B11" s="149">
        <v>993</v>
      </c>
      <c r="C11" s="93" t="s">
        <v>1232</v>
      </c>
      <c r="D11" s="14">
        <v>8.3000000000000007</v>
      </c>
      <c r="E11" s="14">
        <v>7.9</v>
      </c>
      <c r="F11" s="13">
        <f t="shared" si="12"/>
        <v>16.200000000000003</v>
      </c>
      <c r="G11" s="15" t="b">
        <f t="shared" si="0"/>
        <v>0</v>
      </c>
      <c r="H11" s="15">
        <f t="shared" si="1"/>
        <v>8.3000000000000007</v>
      </c>
      <c r="I11" s="15" t="b">
        <f t="shared" si="2"/>
        <v>0</v>
      </c>
      <c r="J11" s="15">
        <f t="shared" si="3"/>
        <v>7.9</v>
      </c>
      <c r="K11" s="8"/>
      <c r="L11" s="102"/>
      <c r="M11" s="102"/>
      <c r="N11" s="103"/>
      <c r="O11" s="68"/>
      <c r="P11" s="68"/>
      <c r="Q11" s="73"/>
      <c r="R11" s="23" t="b">
        <f>IF(L12="M",O11)</f>
        <v>0</v>
      </c>
      <c r="S11" s="23" t="b">
        <f>IF(L12="F",O11)</f>
        <v>0</v>
      </c>
      <c r="T11" s="23" t="b">
        <f>IF(L12="M",P11)</f>
        <v>0</v>
      </c>
      <c r="U11" s="23" t="b">
        <f>IF(L12="F",P11)</f>
        <v>0</v>
      </c>
      <c r="V11" s="106"/>
      <c r="W11" s="102"/>
      <c r="X11" s="102"/>
      <c r="Y11" s="103"/>
      <c r="Z11" s="68"/>
      <c r="AA11" s="68"/>
      <c r="AB11" s="73"/>
      <c r="AC11" s="15" t="b">
        <f t="shared" si="8"/>
        <v>0</v>
      </c>
      <c r="AD11" s="15" t="b">
        <f t="shared" si="9"/>
        <v>0</v>
      </c>
      <c r="AE11" s="15" t="b">
        <f t="shared" si="10"/>
        <v>0</v>
      </c>
      <c r="AF11" s="15" t="b">
        <f t="shared" si="11"/>
        <v>0</v>
      </c>
      <c r="AG11" s="8"/>
    </row>
    <row r="12" spans="1:81">
      <c r="A12" s="12" t="s">
        <v>9</v>
      </c>
      <c r="B12" s="149">
        <v>994</v>
      </c>
      <c r="C12" s="93" t="s">
        <v>1233</v>
      </c>
      <c r="D12" s="14">
        <v>8.6</v>
      </c>
      <c r="E12" s="14">
        <v>8.1</v>
      </c>
      <c r="F12" s="13">
        <f t="shared" si="12"/>
        <v>16.7</v>
      </c>
      <c r="G12" s="15" t="b">
        <f t="shared" si="0"/>
        <v>0</v>
      </c>
      <c r="H12" s="15">
        <f t="shared" si="1"/>
        <v>8.6</v>
      </c>
      <c r="I12" s="15" t="b">
        <f t="shared" si="2"/>
        <v>0</v>
      </c>
      <c r="J12" s="15">
        <f t="shared" si="3"/>
        <v>8.1</v>
      </c>
      <c r="K12" s="8"/>
      <c r="L12" s="102"/>
      <c r="M12" s="102"/>
      <c r="N12" s="103"/>
      <c r="O12" s="68"/>
      <c r="P12" s="68"/>
      <c r="Q12" s="73"/>
      <c r="R12" s="23" t="b">
        <f>IF(L13="M",O12)</f>
        <v>0</v>
      </c>
      <c r="S12" s="23" t="b">
        <f>IF(L13="F",O12)</f>
        <v>0</v>
      </c>
      <c r="T12" s="23" t="b">
        <f>IF(L13="M",P12)</f>
        <v>0</v>
      </c>
      <c r="U12" s="23" t="b">
        <f>IF(L13="F",P12)</f>
        <v>0</v>
      </c>
      <c r="V12" s="106"/>
      <c r="W12" s="102"/>
      <c r="X12" s="102"/>
      <c r="Y12" s="103"/>
      <c r="Z12" s="68"/>
      <c r="AA12" s="68"/>
      <c r="AB12" s="73"/>
      <c r="AC12" s="15" t="b">
        <f t="shared" si="8"/>
        <v>0</v>
      </c>
      <c r="AD12" s="15" t="b">
        <f t="shared" si="9"/>
        <v>0</v>
      </c>
      <c r="AE12" s="15" t="b">
        <f t="shared" si="10"/>
        <v>0</v>
      </c>
      <c r="AF12" s="15" t="b">
        <f t="shared" si="11"/>
        <v>0</v>
      </c>
      <c r="AG12" s="8"/>
    </row>
    <row r="13" spans="1:81" ht="16.5" thickBot="1">
      <c r="A13" s="12" t="s">
        <v>9</v>
      </c>
      <c r="B13" s="149">
        <v>995</v>
      </c>
      <c r="C13" s="93" t="s">
        <v>1234</v>
      </c>
      <c r="D13" s="14">
        <v>8.8000000000000007</v>
      </c>
      <c r="E13" s="14">
        <v>7.95</v>
      </c>
      <c r="F13" s="13">
        <f t="shared" si="12"/>
        <v>16.75</v>
      </c>
      <c r="G13" s="15" t="b">
        <f t="shared" si="0"/>
        <v>0</v>
      </c>
      <c r="H13" s="15">
        <f t="shared" si="1"/>
        <v>8.8000000000000007</v>
      </c>
      <c r="I13" s="15" t="b">
        <f t="shared" si="2"/>
        <v>0</v>
      </c>
      <c r="J13" s="15">
        <f t="shared" si="3"/>
        <v>7.95</v>
      </c>
      <c r="K13" s="8"/>
      <c r="L13" s="102"/>
      <c r="M13" s="102"/>
      <c r="N13" s="103"/>
      <c r="O13" s="68"/>
      <c r="P13" s="68"/>
      <c r="Q13" s="73"/>
      <c r="R13" s="23" t="b">
        <f>IF(L10="M",O13)</f>
        <v>0</v>
      </c>
      <c r="S13" s="23" t="b">
        <f>IF(L10="F",O13)</f>
        <v>0</v>
      </c>
      <c r="T13" s="23" t="b">
        <f>IF(L10="M",P13)</f>
        <v>0</v>
      </c>
      <c r="U13" s="23" t="b">
        <f>IF(L10="F",P13)</f>
        <v>0</v>
      </c>
      <c r="V13" s="106"/>
      <c r="W13" s="102"/>
      <c r="X13" s="102"/>
      <c r="Y13" s="103"/>
      <c r="Z13" s="68"/>
      <c r="AA13" s="68"/>
      <c r="AB13" s="73"/>
      <c r="AC13" s="15" t="b">
        <f t="shared" si="8"/>
        <v>0</v>
      </c>
      <c r="AD13" s="15" t="b">
        <f t="shared" si="9"/>
        <v>0</v>
      </c>
      <c r="AE13" s="15" t="b">
        <f t="shared" si="10"/>
        <v>0</v>
      </c>
      <c r="AF13" s="15" t="b">
        <f t="shared" si="11"/>
        <v>0</v>
      </c>
      <c r="AG13" s="8"/>
    </row>
    <row r="14" spans="1:81" ht="16.5" thickBot="1">
      <c r="A14" s="8"/>
      <c r="B14" s="8"/>
      <c r="C14" s="18" t="s">
        <v>10</v>
      </c>
      <c r="D14" s="19">
        <f>G15+H15</f>
        <v>35.200000000000003</v>
      </c>
      <c r="E14" s="19">
        <f>I15+J15</f>
        <v>33.349999999999994</v>
      </c>
      <c r="F14" s="20">
        <f>SUM(D14:E14)</f>
        <v>68.55</v>
      </c>
      <c r="G14" s="8">
        <f>COUNTIF(A8:A13,"M")</f>
        <v>3</v>
      </c>
      <c r="H14" s="8">
        <f>COUNTIF(A8:A13,"F")</f>
        <v>3</v>
      </c>
      <c r="I14" s="8">
        <f>COUNTIF(A8:A13,"M")</f>
        <v>3</v>
      </c>
      <c r="J14" s="8">
        <f>COUNTIF(A8:A13,"F")</f>
        <v>3</v>
      </c>
      <c r="K14" s="8"/>
      <c r="L14" s="106"/>
      <c r="M14" s="106"/>
      <c r="N14" s="84"/>
      <c r="O14" s="64"/>
      <c r="P14" s="64"/>
      <c r="Q14" s="105"/>
      <c r="R14" s="106">
        <f>COUNTIF(L8:L10,"M")</f>
        <v>0</v>
      </c>
      <c r="S14" s="106">
        <f>COUNTIF(L8:L10,"F")</f>
        <v>0</v>
      </c>
      <c r="T14" s="106">
        <f>COUNTIF(L8:L10,"M")</f>
        <v>0</v>
      </c>
      <c r="U14" s="106">
        <f>COUNTIF(L8:L10,"F")</f>
        <v>0</v>
      </c>
      <c r="V14" s="106"/>
      <c r="W14" s="106"/>
      <c r="X14" s="106"/>
      <c r="Y14" s="84"/>
      <c r="Z14" s="64"/>
      <c r="AA14" s="64"/>
      <c r="AB14" s="105"/>
      <c r="AC14" s="8">
        <f>COUNTIF(W8:W13,"M")</f>
        <v>0</v>
      </c>
      <c r="AD14" s="8">
        <f>COUNTIF(W8:W13,"F")</f>
        <v>0</v>
      </c>
      <c r="AE14" s="8">
        <f>COUNTIF(W8:W13,"M")</f>
        <v>0</v>
      </c>
      <c r="AF14" s="8">
        <f>COUNTIF(W8:W13,"F")</f>
        <v>0</v>
      </c>
      <c r="AG14" s="8"/>
    </row>
    <row r="15" spans="1:81">
      <c r="A15" s="8"/>
      <c r="B15" s="21"/>
      <c r="C15" s="94" t="s">
        <v>1302</v>
      </c>
      <c r="D15" s="8"/>
      <c r="E15" s="18"/>
      <c r="F15" s="22"/>
      <c r="G15" s="23">
        <f>IF(G14=2,SUM(G8:G13),IF(G14=3,SUM(G8:G13)-SMALL(G8:G13,1),IF(G14=4,SUM(G8:G13)-SMALL(G8:G13,1)-SMALL(G8:G13,2))))</f>
        <v>17.8</v>
      </c>
      <c r="H15" s="23">
        <f>IF(H14=2,SUM(H8:H13),IF(H14=3,SUM(H8:H13)-SMALL(H8:H13,1),IF(H14=4,SUM(H8:H13)-SMALL(H8:H13,1)-SMALL(H8:H13,2))))</f>
        <v>17.399999999999999</v>
      </c>
      <c r="I15" s="23">
        <f>IF(I14=2,SUM(I8:I13),IF(I14=3,SUM(I8:I13)-SMALL(I8:I13,1),IF(I14=4,SUM(I8:I13)-SMALL(I8:I13,1)-SMALL(I8:I13,2))))</f>
        <v>17.3</v>
      </c>
      <c r="J15" s="23">
        <f>IF(J14=2,SUM(J8:J13),IF(J14=3,SUM(J8:J13)-SMALL(J8:J13,1),IF(J14=4,SUM(J8:J13)-SMALL(J8:J13,1)-SMALL(J8:J13,2))))</f>
        <v>16.049999999999997</v>
      </c>
      <c r="K15" s="8"/>
      <c r="L15" s="8"/>
      <c r="M15" s="21"/>
      <c r="N15" s="8"/>
      <c r="O15" s="8"/>
      <c r="P15" s="18"/>
      <c r="Q15" s="22"/>
      <c r="R15" s="23" t="b">
        <f>IF(R14=2,SUM(R8:R13),IF(R14=3,SUM(R8:R13)-SMALL(R8:R13,1),IF(R14=4,SUM(R8:R13)-SMALL(R8:R13,1)-SMALL(R8:R13,2))))</f>
        <v>0</v>
      </c>
      <c r="S15" s="23" t="b">
        <f>IF(S14=2,SUM(S8:S13),IF(S14=3,SUM(S8:S13)-SMALL(S8:S13,1),IF(S14=4,SUM(S8:S13)-SMALL(S8:S13,1)-SMALL(S8:S13,2))))</f>
        <v>0</v>
      </c>
      <c r="T15" s="23" t="b">
        <f>IF(T14=2,SUM(T8:T13),IF(T14=3,SUM(T8:T13)-SMALL(T8:T13,1),IF(T14=4,SUM(T8:T13)-SMALL(T8:T13,1)-SMALL(T8:T13,2))))</f>
        <v>0</v>
      </c>
      <c r="U15" s="23" t="b">
        <f>IF(U14=2,SUM(U8:U13),IF(U14=3,SUM(U8:U13)-SMALL(U8:U13,1),IF(U14=4,SUM(U8:U13)-SMALL(U8:U13,1)-SMALL(U8:U13,2))))</f>
        <v>0</v>
      </c>
      <c r="V15" s="8"/>
      <c r="W15" s="8"/>
      <c r="X15" s="21"/>
      <c r="Y15" s="8"/>
      <c r="Z15" s="8"/>
      <c r="AA15" s="18"/>
      <c r="AB15" s="22"/>
      <c r="AC15" s="23" t="b">
        <f>IF(AC14=2,SUM(AC8:AC13),IF(AC14=3,SUM(AC8:AC13)-SMALL(AC8:AC13,1),IF(AC14=4,SUM(AC8:AC13)-SMALL(AC8:AC13,1)-SMALL(AC8:AC13,2))))</f>
        <v>0</v>
      </c>
      <c r="AD15" s="23" t="b">
        <f>IF(AD14=2,SUM(AD8:AD13),IF(AD14=3,SUM(AD8:AD13)-SMALL(AD8:AD13,1),IF(AD14=4,SUM(AD8:AD13)-SMALL(AD8:AD13,1)-SMALL(AD8:AD13,2))))</f>
        <v>0</v>
      </c>
      <c r="AE15" s="23" t="b">
        <f>IF(AE14=2,SUM(AE8:AE13),IF(AE14=3,SUM(AE8:AE13)-SMALL(AE8:AE13,1),IF(AE14=4,SUM(AE8:AE13)-SMALL(AE8:AE13,1)-SMALL(AE8:AE13,2))))</f>
        <v>0</v>
      </c>
      <c r="AF15" s="23" t="b">
        <f>IF(AF14=2,SUM(AF8:AF13),IF(AF14=3,SUM(AF8:AF13)-SMALL(AF8:AF13,1),IF(AF14=4,SUM(AF8:AF13)-SMALL(AF8:AF13,1)-SMALL(AF8:AF13,2))))</f>
        <v>0</v>
      </c>
      <c r="AG15" s="8"/>
    </row>
  </sheetData>
  <mergeCells count="4">
    <mergeCell ref="A1:AB1"/>
    <mergeCell ref="A2:AB2"/>
    <mergeCell ref="L4:O4"/>
    <mergeCell ref="A6:F6"/>
  </mergeCells>
  <phoneticPr fontId="21" type="noConversion"/>
  <conditionalFormatting sqref="P7">
    <cfRule type="cellIs" dxfId="498" priority="1" operator="equal">
      <formula>3</formula>
    </cfRule>
    <cfRule type="cellIs" dxfId="497" priority="2" operator="equal">
      <formula>2</formula>
    </cfRule>
    <cfRule type="cellIs" dxfId="496" priority="3" operator="equal">
      <formula>1</formula>
    </cfRule>
  </conditionalFormatting>
  <pageMargins left="0.7" right="0.7" top="0.75" bottom="0.75" header="0.3" footer="0.3"/>
  <pageSetup paperSize="9" scale="71" orientation="landscape" horizontalDpi="4294967292" verticalDpi="4294967292"/>
  <colBreaks count="1" manualBreakCount="1">
    <brk id="33" max="1048575" man="1"/>
  </colBreaks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28"/>
  <sheetViews>
    <sheetView zoomScale="90" zoomScaleNormal="90" zoomScalePageLayoutView="90" workbookViewId="0">
      <selection activeCell="A4" sqref="A4"/>
    </sheetView>
  </sheetViews>
  <sheetFormatPr defaultColWidth="8.875" defaultRowHeight="15.75"/>
  <cols>
    <col min="1" max="1" width="5.625" customWidth="1"/>
    <col min="2" max="2" width="17.5" bestFit="1" customWidth="1"/>
    <col min="3" max="4" width="7.5" bestFit="1" customWidth="1"/>
    <col min="5" max="5" width="7.375" bestFit="1" customWidth="1"/>
    <col min="6" max="6" width="0.5" customWidth="1"/>
    <col min="7" max="7" width="5.5" bestFit="1" customWidth="1"/>
    <col min="8" max="8" width="18.375" customWidth="1"/>
    <col min="9" max="10" width="7.5" bestFit="1" customWidth="1"/>
    <col min="11" max="11" width="7.375" bestFit="1" customWidth="1"/>
    <col min="12" max="12" width="0.5" customWidth="1"/>
    <col min="13" max="13" width="5.5" bestFit="1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625" customWidth="1"/>
    <col min="22" max="22" width="5.5" customWidth="1"/>
    <col min="23" max="23" width="17.625" bestFit="1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70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0"/>
      <c r="BJ2" s="90"/>
    </row>
    <row r="3" spans="1:70" ht="28.5" customHeight="1">
      <c r="A3" s="8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E4" s="1"/>
      <c r="F4" s="1"/>
      <c r="G4" s="461" t="s">
        <v>126</v>
      </c>
      <c r="H4" s="474"/>
      <c r="I4" s="474"/>
      <c r="J4" s="475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6" spans="1:70" s="8" customFormat="1">
      <c r="A6" s="331" t="s">
        <v>49</v>
      </c>
      <c r="B6" s="135"/>
      <c r="C6" s="135"/>
      <c r="D6" s="135"/>
      <c r="E6" s="136"/>
      <c r="G6" s="331" t="s">
        <v>468</v>
      </c>
      <c r="H6" s="135"/>
      <c r="I6" s="135"/>
      <c r="J6" s="135"/>
      <c r="K6" s="136"/>
      <c r="L6" s="106"/>
      <c r="M6" s="331" t="s">
        <v>1124</v>
      </c>
      <c r="N6" s="173"/>
      <c r="O6" s="173"/>
      <c r="P6" s="173"/>
      <c r="Q6" s="174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L7" s="1"/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33" t="s">
        <v>81</v>
      </c>
      <c r="V7" s="149">
        <v>996</v>
      </c>
      <c r="W7" s="93" t="s">
        <v>676</v>
      </c>
      <c r="X7" s="213">
        <f>C8</f>
        <v>8</v>
      </c>
      <c r="Y7" s="283">
        <f>SUMPRODUCT((X$7:X$26&gt;X7)/COUNTIF(X$7:X$26,X$7:X$26&amp;""))+1</f>
        <v>10</v>
      </c>
      <c r="Z7" s="213">
        <f>D8</f>
        <v>8.8000000000000007</v>
      </c>
      <c r="AA7" s="283">
        <f>SUMPRODUCT((Z$7:Z$26&gt;Z7)/COUNTIF(Z$7:Z$26,Z$7:Z$26&amp;""))+1</f>
        <v>6</v>
      </c>
      <c r="AB7" s="69">
        <f>Table351213142439111622256365[[#This Row],[Floor]]+Table351213142439111622256365[[#This Row],[Vault]]</f>
        <v>16.8</v>
      </c>
      <c r="AC7" s="283">
        <f>SUMPRODUCT((AB$7:AB$26&gt;AB7)/COUNTIF(AB$7:AB$26,AB$7:AB$26&amp;""))+1</f>
        <v>12</v>
      </c>
    </row>
    <row r="8" spans="1:70">
      <c r="A8" s="149">
        <v>996</v>
      </c>
      <c r="B8" s="93" t="s">
        <v>676</v>
      </c>
      <c r="C8" s="13">
        <v>8</v>
      </c>
      <c r="D8" s="13">
        <v>8.8000000000000007</v>
      </c>
      <c r="E8" s="13">
        <f>SUM(C8,D8)</f>
        <v>16.8</v>
      </c>
      <c r="G8" s="149">
        <v>1002</v>
      </c>
      <c r="H8" s="93" t="s">
        <v>75</v>
      </c>
      <c r="I8" s="13">
        <v>8.9</v>
      </c>
      <c r="J8" s="13">
        <v>8.1</v>
      </c>
      <c r="K8" s="13">
        <f>SUM(I8,J8)</f>
        <v>17</v>
      </c>
      <c r="L8" s="1"/>
      <c r="M8" s="149">
        <v>1008</v>
      </c>
      <c r="N8" s="93" t="s">
        <v>1126</v>
      </c>
      <c r="O8" s="13">
        <v>9.1999999999999993</v>
      </c>
      <c r="P8" s="13">
        <v>8.1999999999999993</v>
      </c>
      <c r="Q8" s="13">
        <f>SUM(O8,P8)</f>
        <v>17.399999999999999</v>
      </c>
      <c r="U8" s="33" t="s">
        <v>81</v>
      </c>
      <c r="V8" s="149">
        <v>997</v>
      </c>
      <c r="W8" s="93" t="s">
        <v>110</v>
      </c>
      <c r="X8" s="213">
        <f t="shared" ref="X8:X10" si="0">C9</f>
        <v>8.9</v>
      </c>
      <c r="Y8" s="283">
        <f t="shared" ref="Y8:Y26" si="1">SUMPRODUCT((X$7:X$26&gt;X8)/COUNTIF(X$7:X$26,X$7:X$26&amp;""))+1</f>
        <v>4</v>
      </c>
      <c r="Z8" s="213">
        <f t="shared" ref="Z8:Z10" si="2">D9</f>
        <v>9.35</v>
      </c>
      <c r="AA8" s="283">
        <f t="shared" ref="AA8:AA26" si="3">SUMPRODUCT((Z$7:Z$26&gt;Z8)/COUNTIF(Z$7:Z$26,Z$7:Z$26&amp;""))+1</f>
        <v>2</v>
      </c>
      <c r="AB8" s="69">
        <f>Table351213142439111622256365[[#This Row],[Floor]]+Table351213142439111622256365[[#This Row],[Vault]]</f>
        <v>18.25</v>
      </c>
      <c r="AC8" s="283">
        <f t="shared" ref="AC8:AC26" si="4">SUMPRODUCT((AB$7:AB$26&gt;AB8)/COUNTIF(AB$7:AB$26,AB$7:AB$26&amp;""))+1</f>
        <v>1</v>
      </c>
    </row>
    <row r="9" spans="1:70">
      <c r="A9" s="149">
        <v>997</v>
      </c>
      <c r="B9" s="93" t="s">
        <v>110</v>
      </c>
      <c r="C9" s="13">
        <v>8.9</v>
      </c>
      <c r="D9" s="13">
        <v>9.35</v>
      </c>
      <c r="E9" s="13">
        <f t="shared" ref="E9:E13" si="5">SUM(C9,D9)</f>
        <v>18.25</v>
      </c>
      <c r="G9" s="149">
        <v>1003</v>
      </c>
      <c r="H9" s="93" t="s">
        <v>74</v>
      </c>
      <c r="I9" s="13">
        <v>8.6999999999999993</v>
      </c>
      <c r="J9" s="13">
        <v>8.9499999999999993</v>
      </c>
      <c r="K9" s="13">
        <f t="shared" ref="K9:K13" si="6">SUM(I9,J9)</f>
        <v>17.649999999999999</v>
      </c>
      <c r="L9" s="1"/>
      <c r="M9" s="149">
        <v>1009</v>
      </c>
      <c r="N9" s="93" t="s">
        <v>90</v>
      </c>
      <c r="O9" s="13">
        <v>8.1999999999999993</v>
      </c>
      <c r="P9" s="13">
        <v>8</v>
      </c>
      <c r="Q9" s="13">
        <f t="shared" ref="Q9:Q13" si="7">SUM(O9,P9)</f>
        <v>16.2</v>
      </c>
      <c r="U9" s="33" t="s">
        <v>81</v>
      </c>
      <c r="V9" s="149">
        <v>998</v>
      </c>
      <c r="W9" s="95" t="s">
        <v>148</v>
      </c>
      <c r="X9" s="213">
        <f>C10</f>
        <v>8.1999999999999993</v>
      </c>
      <c r="Y9" s="283">
        <f t="shared" si="1"/>
        <v>8</v>
      </c>
      <c r="Z9" s="213">
        <f>D10</f>
        <v>8.35</v>
      </c>
      <c r="AA9" s="283">
        <f t="shared" si="3"/>
        <v>10</v>
      </c>
      <c r="AB9" s="69">
        <f>Table351213142439111622256365[[#This Row],[Floor]]+Table351213142439111622256365[[#This Row],[Vault]]</f>
        <v>16.549999999999997</v>
      </c>
      <c r="AC9" s="283">
        <f t="shared" si="4"/>
        <v>13</v>
      </c>
    </row>
    <row r="10" spans="1:70">
      <c r="A10" s="149">
        <v>998</v>
      </c>
      <c r="B10" s="93" t="s">
        <v>148</v>
      </c>
      <c r="C10" s="13">
        <v>8.1999999999999993</v>
      </c>
      <c r="D10" s="13">
        <v>8.35</v>
      </c>
      <c r="E10" s="13">
        <f t="shared" si="5"/>
        <v>16.549999999999997</v>
      </c>
      <c r="G10" s="149">
        <v>1004</v>
      </c>
      <c r="H10" s="93" t="s">
        <v>174</v>
      </c>
      <c r="I10" s="13">
        <v>7.8</v>
      </c>
      <c r="J10" s="13">
        <v>9.15</v>
      </c>
      <c r="K10" s="13">
        <f t="shared" si="6"/>
        <v>16.95</v>
      </c>
      <c r="L10" s="1"/>
      <c r="M10" s="149">
        <v>1010</v>
      </c>
      <c r="N10" s="93" t="s">
        <v>89</v>
      </c>
      <c r="O10" s="13">
        <v>8.1</v>
      </c>
      <c r="P10" s="13">
        <v>7.75</v>
      </c>
      <c r="Q10" s="13">
        <f t="shared" si="7"/>
        <v>15.85</v>
      </c>
      <c r="U10" s="33" t="s">
        <v>81</v>
      </c>
      <c r="V10" s="149">
        <v>999</v>
      </c>
      <c r="W10" s="93" t="s">
        <v>677</v>
      </c>
      <c r="X10" s="213">
        <f t="shared" si="0"/>
        <v>8.1999999999999993</v>
      </c>
      <c r="Y10" s="283">
        <f t="shared" si="1"/>
        <v>8</v>
      </c>
      <c r="Z10" s="213">
        <f t="shared" si="2"/>
        <v>8.1999999999999993</v>
      </c>
      <c r="AA10" s="283">
        <f t="shared" si="3"/>
        <v>12</v>
      </c>
      <c r="AB10" s="69">
        <f>Table351213142439111622256365[[#This Row],[Floor]]+Table351213142439111622256365[[#This Row],[Vault]]</f>
        <v>16.399999999999999</v>
      </c>
      <c r="AC10" s="283">
        <f t="shared" si="4"/>
        <v>14</v>
      </c>
    </row>
    <row r="11" spans="1:70">
      <c r="A11" s="149">
        <v>999</v>
      </c>
      <c r="B11" s="93" t="s">
        <v>677</v>
      </c>
      <c r="C11" s="13">
        <v>8.1999999999999993</v>
      </c>
      <c r="D11" s="13">
        <v>8.1999999999999993</v>
      </c>
      <c r="E11" s="13">
        <f t="shared" si="5"/>
        <v>16.399999999999999</v>
      </c>
      <c r="G11" s="149">
        <v>1005</v>
      </c>
      <c r="H11" s="93" t="s">
        <v>76</v>
      </c>
      <c r="I11" s="13">
        <v>7.3</v>
      </c>
      <c r="J11" s="13">
        <v>8.1999999999999993</v>
      </c>
      <c r="K11" s="13">
        <f t="shared" si="6"/>
        <v>15.5</v>
      </c>
      <c r="L11" s="1"/>
      <c r="M11" s="149">
        <v>1011</v>
      </c>
      <c r="N11" s="93" t="s">
        <v>173</v>
      </c>
      <c r="O11" s="13">
        <v>9</v>
      </c>
      <c r="P11" s="13">
        <v>8.25</v>
      </c>
      <c r="Q11" s="13">
        <f t="shared" si="7"/>
        <v>17.25</v>
      </c>
      <c r="U11" s="33" t="s">
        <v>87</v>
      </c>
      <c r="V11" s="149">
        <v>1002</v>
      </c>
      <c r="W11" s="93" t="s">
        <v>75</v>
      </c>
      <c r="X11" s="213">
        <f>I8</f>
        <v>8.9</v>
      </c>
      <c r="Y11" s="283">
        <f t="shared" si="1"/>
        <v>4</v>
      </c>
      <c r="Z11" s="213">
        <f>J8</f>
        <v>8.1</v>
      </c>
      <c r="AA11" s="283">
        <f t="shared" si="3"/>
        <v>14</v>
      </c>
      <c r="AB11" s="69">
        <f>Table351213142439111622256365[[#This Row],[Floor]]+Table351213142439111622256365[[#This Row],[Vault]]</f>
        <v>17</v>
      </c>
      <c r="AC11" s="283">
        <f t="shared" si="4"/>
        <v>9</v>
      </c>
    </row>
    <row r="12" spans="1:70">
      <c r="A12" s="149">
        <v>1000</v>
      </c>
      <c r="B12" s="97"/>
      <c r="C12" s="13">
        <v>0</v>
      </c>
      <c r="D12" s="13">
        <v>0</v>
      </c>
      <c r="E12" s="13">
        <f t="shared" si="5"/>
        <v>0</v>
      </c>
      <c r="G12" s="149">
        <v>1006</v>
      </c>
      <c r="H12" s="93" t="s">
        <v>1125</v>
      </c>
      <c r="I12" s="13">
        <v>8.8000000000000007</v>
      </c>
      <c r="J12" s="13">
        <v>8.0500000000000007</v>
      </c>
      <c r="K12" s="13">
        <f t="shared" si="6"/>
        <v>16.850000000000001</v>
      </c>
      <c r="L12" s="1"/>
      <c r="M12" s="149">
        <v>1012</v>
      </c>
      <c r="N12" s="93" t="s">
        <v>1127</v>
      </c>
      <c r="O12" s="13">
        <v>7.9</v>
      </c>
      <c r="P12" s="13">
        <v>8.15</v>
      </c>
      <c r="Q12" s="13">
        <f t="shared" si="7"/>
        <v>16.05</v>
      </c>
      <c r="U12" s="33" t="s">
        <v>87</v>
      </c>
      <c r="V12" s="149">
        <v>1003</v>
      </c>
      <c r="W12" s="93" t="s">
        <v>74</v>
      </c>
      <c r="X12" s="213">
        <f t="shared" ref="X12:X15" si="8">I9</f>
        <v>8.6999999999999993</v>
      </c>
      <c r="Y12" s="283">
        <f t="shared" si="1"/>
        <v>6</v>
      </c>
      <c r="Z12" s="213">
        <f t="shared" ref="Z12:Z15" si="9">J9</f>
        <v>8.9499999999999993</v>
      </c>
      <c r="AA12" s="283">
        <f t="shared" si="3"/>
        <v>4</v>
      </c>
      <c r="AB12" s="69">
        <f>Table351213142439111622256365[[#This Row],[Floor]]+Table351213142439111622256365[[#This Row],[Vault]]</f>
        <v>17.649999999999999</v>
      </c>
      <c r="AC12" s="283">
        <f t="shared" si="4"/>
        <v>6</v>
      </c>
    </row>
    <row r="13" spans="1:70" ht="16.5" thickBot="1">
      <c r="A13" s="149">
        <v>1001</v>
      </c>
      <c r="B13" s="225"/>
      <c r="C13" s="13">
        <v>0</v>
      </c>
      <c r="D13" s="13">
        <v>0</v>
      </c>
      <c r="E13" s="13">
        <f t="shared" si="5"/>
        <v>0</v>
      </c>
      <c r="F13" s="8"/>
      <c r="G13" s="149">
        <v>1007</v>
      </c>
      <c r="H13" s="97"/>
      <c r="I13" s="13">
        <v>0</v>
      </c>
      <c r="J13" s="13">
        <v>0</v>
      </c>
      <c r="K13" s="13">
        <f t="shared" si="6"/>
        <v>0</v>
      </c>
      <c r="L13" s="106"/>
      <c r="M13" s="149">
        <v>1013</v>
      </c>
      <c r="N13" s="97"/>
      <c r="O13" s="13">
        <v>0</v>
      </c>
      <c r="P13" s="13">
        <v>0</v>
      </c>
      <c r="Q13" s="13">
        <f t="shared" si="7"/>
        <v>0</v>
      </c>
      <c r="U13" s="33" t="s">
        <v>87</v>
      </c>
      <c r="V13" s="149">
        <v>1004</v>
      </c>
      <c r="W13" s="93" t="s">
        <v>174</v>
      </c>
      <c r="X13" s="213">
        <f>I10</f>
        <v>7.8</v>
      </c>
      <c r="Y13" s="283">
        <f t="shared" si="1"/>
        <v>12</v>
      </c>
      <c r="Z13" s="213">
        <f t="shared" si="9"/>
        <v>9.15</v>
      </c>
      <c r="AA13" s="283">
        <f t="shared" si="3"/>
        <v>3</v>
      </c>
      <c r="AB13" s="69">
        <f>Table351213142439111622256365[[#This Row],[Floor]]+Table351213142439111622256365[[#This Row],[Vault]]</f>
        <v>16.95</v>
      </c>
      <c r="AC13" s="283">
        <f t="shared" si="4"/>
        <v>10</v>
      </c>
    </row>
    <row r="14" spans="1:70" ht="16.5" thickBot="1">
      <c r="B14" s="25" t="s">
        <v>10</v>
      </c>
      <c r="C14" s="19">
        <f>SUM(C8:C13)-SMALL(C8:C13,1)-SMALL(C8:C13,2)</f>
        <v>33.299999999999997</v>
      </c>
      <c r="D14" s="19">
        <f>SUM(D8:D13)-SMALL(D8:D13,1)-SMALL(D8:D13,2)</f>
        <v>34.700000000000003</v>
      </c>
      <c r="E14" s="20">
        <f>SUM(C14:D14)</f>
        <v>68</v>
      </c>
      <c r="F14" s="8"/>
      <c r="H14" s="25" t="s">
        <v>10</v>
      </c>
      <c r="I14" s="19">
        <f>SUM(I8:I13)-SMALL(I8:I13,1)-SMALL(I8:I13,2)</f>
        <v>34.200000000000003</v>
      </c>
      <c r="J14" s="19">
        <f>SUM(J8:J13)-SMALL(J8:J13,1)-SMALL(J8:J13,2)</f>
        <v>34.399999999999991</v>
      </c>
      <c r="K14" s="20">
        <f>SUM(I14:J14)</f>
        <v>68.599999999999994</v>
      </c>
      <c r="L14" s="106"/>
      <c r="N14" s="25" t="s">
        <v>10</v>
      </c>
      <c r="O14" s="19">
        <f>SUM(O8:O13)-SMALL(O8:O13,1)-SMALL(O8:O13,2)</f>
        <v>34.5</v>
      </c>
      <c r="P14" s="19">
        <f>SUM(P8:P13)-SMALL(P8:P13,1)-SMALL(P8:P13,2)</f>
        <v>32.6</v>
      </c>
      <c r="Q14" s="20">
        <f>SUM(O14:P14)</f>
        <v>67.099999999999994</v>
      </c>
      <c r="U14" s="33" t="s">
        <v>87</v>
      </c>
      <c r="V14" s="149">
        <v>1005</v>
      </c>
      <c r="W14" s="93" t="s">
        <v>76</v>
      </c>
      <c r="X14" s="213">
        <f>I11</f>
        <v>7.3</v>
      </c>
      <c r="Y14" s="283">
        <f t="shared" si="1"/>
        <v>13</v>
      </c>
      <c r="Z14" s="213">
        <f>J11</f>
        <v>8.1999999999999993</v>
      </c>
      <c r="AA14" s="283">
        <f t="shared" si="3"/>
        <v>12</v>
      </c>
      <c r="AB14" s="69">
        <f>Table351213142439111622256365[[#This Row],[Floor]]+Table351213142439111622256365[[#This Row],[Vault]]</f>
        <v>15.5</v>
      </c>
      <c r="AC14" s="283">
        <f t="shared" si="4"/>
        <v>18</v>
      </c>
    </row>
    <row r="15" spans="1:70">
      <c r="B15" s="94" t="s">
        <v>37</v>
      </c>
      <c r="D15" s="25"/>
      <c r="E15" s="26"/>
      <c r="G15" s="1"/>
      <c r="H15" s="94" t="s">
        <v>37</v>
      </c>
      <c r="I15" s="1"/>
      <c r="J15" s="104"/>
      <c r="K15" s="115"/>
      <c r="L15" s="1"/>
      <c r="M15" s="1"/>
      <c r="N15" s="94" t="s">
        <v>37</v>
      </c>
      <c r="O15" s="1"/>
      <c r="P15" s="104"/>
      <c r="Q15" s="115"/>
      <c r="U15" s="33" t="s">
        <v>87</v>
      </c>
      <c r="V15" s="149">
        <v>1006</v>
      </c>
      <c r="W15" s="93" t="s">
        <v>1125</v>
      </c>
      <c r="X15" s="213">
        <f t="shared" si="8"/>
        <v>8.8000000000000007</v>
      </c>
      <c r="Y15" s="283">
        <f t="shared" si="1"/>
        <v>5</v>
      </c>
      <c r="Z15" s="213">
        <f t="shared" si="9"/>
        <v>8.0500000000000007</v>
      </c>
      <c r="AA15" s="283">
        <f t="shared" si="3"/>
        <v>15</v>
      </c>
      <c r="AB15" s="69">
        <f>Table351213142439111622256365[[#This Row],[Floor]]+Table351213142439111622256365[[#This Row],[Vault]]</f>
        <v>16.850000000000001</v>
      </c>
      <c r="AC15" s="283">
        <f t="shared" si="4"/>
        <v>11</v>
      </c>
    </row>
    <row r="16" spans="1:70">
      <c r="U16" s="33" t="s">
        <v>87</v>
      </c>
      <c r="V16" s="149">
        <v>1008</v>
      </c>
      <c r="W16" s="93" t="s">
        <v>1126</v>
      </c>
      <c r="X16" s="213">
        <f>O8</f>
        <v>9.1999999999999993</v>
      </c>
      <c r="Y16" s="283">
        <f t="shared" si="1"/>
        <v>2</v>
      </c>
      <c r="Z16" s="213">
        <f>P8</f>
        <v>8.1999999999999993</v>
      </c>
      <c r="AA16" s="283">
        <f t="shared" si="3"/>
        <v>12</v>
      </c>
      <c r="AB16" s="69">
        <f>Table351213142439111622256365[[#This Row],[Floor]]+Table351213142439111622256365[[#This Row],[Vault]]</f>
        <v>17.399999999999999</v>
      </c>
      <c r="AC16" s="283">
        <f t="shared" si="4"/>
        <v>7</v>
      </c>
    </row>
    <row r="17" spans="1:29">
      <c r="A17" s="233"/>
      <c r="B17" s="233"/>
      <c r="C17" s="233"/>
      <c r="D17" s="233"/>
      <c r="E17" s="233"/>
      <c r="N17" s="39" t="s">
        <v>12</v>
      </c>
      <c r="O17" s="43" t="s">
        <v>5</v>
      </c>
      <c r="P17" s="44" t="s">
        <v>11</v>
      </c>
      <c r="U17" s="33" t="s">
        <v>87</v>
      </c>
      <c r="V17" s="149">
        <v>1009</v>
      </c>
      <c r="W17" s="93" t="s">
        <v>90</v>
      </c>
      <c r="X17" s="213">
        <f t="shared" ref="X17:X20" si="10">O9</f>
        <v>8.1999999999999993</v>
      </c>
      <c r="Y17" s="283">
        <f t="shared" si="1"/>
        <v>8</v>
      </c>
      <c r="Z17" s="213">
        <f t="shared" ref="Z17:Z20" si="11">P9</f>
        <v>8</v>
      </c>
      <c r="AA17" s="283">
        <f t="shared" si="3"/>
        <v>16</v>
      </c>
      <c r="AB17" s="69">
        <f>Table351213142439111622256365[[#This Row],[Floor]]+Table351213142439111622256365[[#This Row],[Vault]]</f>
        <v>16.2</v>
      </c>
      <c r="AC17" s="283">
        <f t="shared" si="4"/>
        <v>15</v>
      </c>
    </row>
    <row r="18" spans="1:29">
      <c r="A18" s="111"/>
      <c r="B18" s="111"/>
      <c r="C18" s="111"/>
      <c r="D18" s="111"/>
      <c r="E18" s="111"/>
      <c r="N18" s="54" t="s">
        <v>13</v>
      </c>
      <c r="O18" s="73">
        <f>E14</f>
        <v>68</v>
      </c>
      <c r="P18" s="40">
        <f>SUMPRODUCT((O$18:O$20&gt;O18)/COUNTIF(O$18:O$20,O$18:O$20&amp;""))+1</f>
        <v>2</v>
      </c>
      <c r="U18" s="33" t="s">
        <v>87</v>
      </c>
      <c r="V18" s="149">
        <v>1010</v>
      </c>
      <c r="W18" s="93" t="s">
        <v>89</v>
      </c>
      <c r="X18" s="213">
        <f>O10</f>
        <v>8.1</v>
      </c>
      <c r="Y18" s="283">
        <f t="shared" si="1"/>
        <v>9</v>
      </c>
      <c r="Z18" s="213">
        <f t="shared" si="11"/>
        <v>7.75</v>
      </c>
      <c r="AA18" s="283">
        <f t="shared" si="3"/>
        <v>17</v>
      </c>
      <c r="AB18" s="69">
        <f>Table351213142439111622256365[[#This Row],[Floor]]+Table351213142439111622256365[[#This Row],[Vault]]</f>
        <v>15.85</v>
      </c>
      <c r="AC18" s="283">
        <f t="shared" si="4"/>
        <v>17</v>
      </c>
    </row>
    <row r="19" spans="1:29">
      <c r="A19" s="152"/>
      <c r="B19" s="110"/>
      <c r="C19" s="73"/>
      <c r="D19" s="73"/>
      <c r="E19" s="73"/>
      <c r="N19" s="45" t="s">
        <v>468</v>
      </c>
      <c r="O19" s="46">
        <f>K14</f>
        <v>68.599999999999994</v>
      </c>
      <c r="P19" s="40">
        <f t="shared" ref="P19:P20" si="12">SUMPRODUCT((O$18:O$20&gt;O19)/COUNTIF(O$18:O$20,O$18:O$20&amp;""))+1</f>
        <v>1</v>
      </c>
      <c r="U19" s="33" t="s">
        <v>87</v>
      </c>
      <c r="V19" s="149">
        <v>1011</v>
      </c>
      <c r="W19" s="93" t="s">
        <v>173</v>
      </c>
      <c r="X19" s="213">
        <f>O11</f>
        <v>9</v>
      </c>
      <c r="Y19" s="283">
        <f t="shared" si="1"/>
        <v>3</v>
      </c>
      <c r="Z19" s="213">
        <f>P11</f>
        <v>8.25</v>
      </c>
      <c r="AA19" s="283">
        <f t="shared" si="3"/>
        <v>11</v>
      </c>
      <c r="AB19" s="69">
        <f>Table351213142439111622256365[[#This Row],[Floor]]+Table351213142439111622256365[[#This Row],[Vault]]</f>
        <v>17.25</v>
      </c>
      <c r="AC19" s="283">
        <f t="shared" si="4"/>
        <v>8</v>
      </c>
    </row>
    <row r="20" spans="1:29">
      <c r="A20" s="152"/>
      <c r="B20" s="110"/>
      <c r="C20" s="73"/>
      <c r="D20" s="73"/>
      <c r="E20" s="73"/>
      <c r="N20" s="45" t="s">
        <v>1124</v>
      </c>
      <c r="O20" s="47">
        <f>Q14</f>
        <v>67.099999999999994</v>
      </c>
      <c r="P20" s="40">
        <f t="shared" si="12"/>
        <v>3</v>
      </c>
      <c r="Q20" s="41"/>
      <c r="R20" s="41"/>
      <c r="S20" s="41"/>
      <c r="T20" s="41"/>
      <c r="U20" s="33" t="s">
        <v>87</v>
      </c>
      <c r="V20" s="149">
        <v>1012</v>
      </c>
      <c r="W20" s="93" t="s">
        <v>1127</v>
      </c>
      <c r="X20" s="213">
        <f t="shared" si="10"/>
        <v>7.9</v>
      </c>
      <c r="Y20" s="283">
        <f t="shared" si="1"/>
        <v>11</v>
      </c>
      <c r="Z20" s="213">
        <f t="shared" si="11"/>
        <v>8.15</v>
      </c>
      <c r="AA20" s="283">
        <f t="shared" si="3"/>
        <v>13</v>
      </c>
      <c r="AB20" s="69">
        <f>Table351213142439111622256365[[#This Row],[Floor]]+Table351213142439111622256365[[#This Row],[Vault]]</f>
        <v>16.05</v>
      </c>
      <c r="AC20" s="283">
        <f t="shared" si="4"/>
        <v>16</v>
      </c>
    </row>
    <row r="21" spans="1:29">
      <c r="A21" s="152"/>
      <c r="B21" s="110"/>
      <c r="C21" s="73"/>
      <c r="D21" s="73"/>
      <c r="E21" s="73"/>
      <c r="U21" s="287" t="s">
        <v>1227</v>
      </c>
      <c r="V21" s="336">
        <v>1065</v>
      </c>
      <c r="W21" s="337" t="s">
        <v>190</v>
      </c>
      <c r="X21" s="312">
        <f>'ADV 11&amp;U MX'!D8</f>
        <v>8.9</v>
      </c>
      <c r="Y21" s="283">
        <f t="shared" si="1"/>
        <v>4</v>
      </c>
      <c r="Z21" s="312">
        <f>'ADV 11&amp;U MX'!E8</f>
        <v>8.85</v>
      </c>
      <c r="AA21" s="283">
        <f t="shared" si="3"/>
        <v>5</v>
      </c>
      <c r="AB21" s="299">
        <f>Table351213142439111622256365[[#This Row],[Floor]]+Table351213142439111622256365[[#This Row],[Vault]]</f>
        <v>17.75</v>
      </c>
      <c r="AC21" s="283">
        <f t="shared" si="4"/>
        <v>4</v>
      </c>
    </row>
    <row r="22" spans="1:29">
      <c r="A22" s="152"/>
      <c r="B22" s="110"/>
      <c r="C22" s="73"/>
      <c r="D22" s="73"/>
      <c r="E22" s="73"/>
      <c r="U22" s="287" t="s">
        <v>1227</v>
      </c>
      <c r="V22" s="336">
        <v>1066</v>
      </c>
      <c r="W22" s="337" t="s">
        <v>189</v>
      </c>
      <c r="X22" s="312">
        <f>'ADV 11&amp;U MX'!D9</f>
        <v>9.4</v>
      </c>
      <c r="Y22" s="283">
        <f t="shared" si="1"/>
        <v>1</v>
      </c>
      <c r="Z22" s="312">
        <f>'ADV 11&amp;U MX'!E9</f>
        <v>8.6999999999999993</v>
      </c>
      <c r="AA22" s="283">
        <f t="shared" si="3"/>
        <v>7</v>
      </c>
      <c r="AB22" s="299">
        <f>Table351213142439111622256365[[#This Row],[Floor]]+Table351213142439111622256365[[#This Row],[Vault]]</f>
        <v>18.100000000000001</v>
      </c>
      <c r="AC22" s="283">
        <f t="shared" si="4"/>
        <v>3</v>
      </c>
    </row>
    <row r="23" spans="1:29">
      <c r="A23" s="152"/>
      <c r="B23" s="110"/>
      <c r="C23" s="73"/>
      <c r="D23" s="73"/>
      <c r="E23" s="73"/>
      <c r="U23" s="287" t="s">
        <v>1227</v>
      </c>
      <c r="V23" s="338">
        <v>1067</v>
      </c>
      <c r="W23" s="339" t="s">
        <v>192</v>
      </c>
      <c r="X23" s="312">
        <f>'ADV 11&amp;U MX'!D10</f>
        <v>9.1999999999999993</v>
      </c>
      <c r="Y23" s="283">
        <f t="shared" si="1"/>
        <v>2</v>
      </c>
      <c r="Z23" s="312">
        <f>'ADV 11&amp;U MX'!E10</f>
        <v>8.5500000000000007</v>
      </c>
      <c r="AA23" s="283">
        <f t="shared" si="3"/>
        <v>8</v>
      </c>
      <c r="AB23" s="299">
        <f>Table351213142439111622256365[[#This Row],[Floor]]+Table351213142439111622256365[[#This Row],[Vault]]</f>
        <v>17.75</v>
      </c>
      <c r="AC23" s="283">
        <f t="shared" si="4"/>
        <v>4</v>
      </c>
    </row>
    <row r="24" spans="1:29">
      <c r="A24" s="152"/>
      <c r="B24" s="110"/>
      <c r="C24" s="73"/>
      <c r="D24" s="73"/>
      <c r="E24" s="73"/>
      <c r="U24" s="287" t="s">
        <v>1227</v>
      </c>
      <c r="V24" s="336">
        <v>1071</v>
      </c>
      <c r="W24" s="337" t="s">
        <v>202</v>
      </c>
      <c r="X24" s="312">
        <f>'ADV 11&amp;U MX'!O8</f>
        <v>8.6999999999999993</v>
      </c>
      <c r="Y24" s="283">
        <f t="shared" si="1"/>
        <v>6</v>
      </c>
      <c r="Z24" s="312">
        <f>'ADV 11&amp;U MX'!P8</f>
        <v>9.5</v>
      </c>
      <c r="AA24" s="283">
        <f t="shared" si="3"/>
        <v>1</v>
      </c>
      <c r="AB24" s="299">
        <f>Table351213142439111622256365[[#This Row],[Floor]]+Table351213142439111622256365[[#This Row],[Vault]]</f>
        <v>18.2</v>
      </c>
      <c r="AC24" s="283">
        <f t="shared" si="4"/>
        <v>2</v>
      </c>
    </row>
    <row r="25" spans="1:29">
      <c r="A25" s="1"/>
      <c r="B25" s="104"/>
      <c r="C25" s="64"/>
      <c r="D25" s="64"/>
      <c r="E25" s="105"/>
      <c r="U25" s="287" t="s">
        <v>1227</v>
      </c>
      <c r="V25" s="336">
        <v>1072</v>
      </c>
      <c r="W25" s="337" t="s">
        <v>195</v>
      </c>
      <c r="X25" s="312">
        <f>'ADV 11&amp;U MX'!O9</f>
        <v>8.4</v>
      </c>
      <c r="Y25" s="283">
        <f t="shared" si="1"/>
        <v>7</v>
      </c>
      <c r="Z25" s="312">
        <f>'ADV 11&amp;U MX'!P9</f>
        <v>8.4499999999999993</v>
      </c>
      <c r="AA25" s="283">
        <f t="shared" si="3"/>
        <v>9</v>
      </c>
      <c r="AB25" s="299">
        <f>Table351213142439111622256365[[#This Row],[Floor]]+Table351213142439111622256365[[#This Row],[Vault]]</f>
        <v>16.850000000000001</v>
      </c>
      <c r="AC25" s="283">
        <f t="shared" si="4"/>
        <v>11</v>
      </c>
    </row>
    <row r="26" spans="1:29">
      <c r="A26" s="1"/>
      <c r="B26" s="121"/>
      <c r="C26" s="1"/>
      <c r="D26" s="104"/>
      <c r="E26" s="115"/>
      <c r="U26" s="287" t="s">
        <v>1227</v>
      </c>
      <c r="V26" s="338">
        <v>1073</v>
      </c>
      <c r="W26" s="339" t="s">
        <v>191</v>
      </c>
      <c r="X26" s="312">
        <f>'ADV 11&amp;U MX'!O10</f>
        <v>8.9</v>
      </c>
      <c r="Y26" s="283">
        <f t="shared" si="1"/>
        <v>4</v>
      </c>
      <c r="Z26" s="312">
        <f>'ADV 11&amp;U MX'!P10</f>
        <v>8.8000000000000007</v>
      </c>
      <c r="AA26" s="283">
        <f t="shared" si="3"/>
        <v>6</v>
      </c>
      <c r="AB26" s="299">
        <f>Table351213142439111622256365[[#This Row],[Floor]]+Table351213142439111622256365[[#This Row],[Vault]]</f>
        <v>17.700000000000003</v>
      </c>
      <c r="AC26" s="283">
        <f t="shared" si="4"/>
        <v>5</v>
      </c>
    </row>
    <row r="27" spans="1:29">
      <c r="A27" s="1"/>
      <c r="B27" s="1"/>
      <c r="C27" s="1"/>
      <c r="D27" s="1"/>
      <c r="E27" s="1"/>
    </row>
    <row r="28" spans="1:29">
      <c r="A28" s="1"/>
      <c r="B28" s="1"/>
      <c r="C28" s="1"/>
      <c r="D28" s="1"/>
      <c r="E28" s="1"/>
    </row>
  </sheetData>
  <mergeCells count="3">
    <mergeCell ref="A1:AC1"/>
    <mergeCell ref="A2:AC2"/>
    <mergeCell ref="G4:J4"/>
  </mergeCells>
  <phoneticPr fontId="21" type="noConversion"/>
  <conditionalFormatting sqref="Y7:Y26">
    <cfRule type="cellIs" dxfId="492" priority="7" operator="equal">
      <formula>3</formula>
    </cfRule>
    <cfRule type="cellIs" dxfId="491" priority="8" operator="equal">
      <formula>2</formula>
    </cfRule>
    <cfRule type="cellIs" dxfId="490" priority="9" operator="equal">
      <formula>1</formula>
    </cfRule>
  </conditionalFormatting>
  <conditionalFormatting sqref="P18:P20">
    <cfRule type="cellIs" dxfId="489" priority="10" operator="equal">
      <formula>3</formula>
    </cfRule>
    <cfRule type="cellIs" dxfId="488" priority="11" operator="equal">
      <formula>2</formula>
    </cfRule>
    <cfRule type="cellIs" dxfId="487" priority="12" operator="equal">
      <formula>1</formula>
    </cfRule>
  </conditionalFormatting>
  <conditionalFormatting sqref="AA7:AA26">
    <cfRule type="cellIs" dxfId="486" priority="4" operator="equal">
      <formula>3</formula>
    </cfRule>
    <cfRule type="cellIs" dxfId="485" priority="5" operator="equal">
      <formula>2</formula>
    </cfRule>
    <cfRule type="cellIs" dxfId="484" priority="6" operator="equal">
      <formula>1</formula>
    </cfRule>
  </conditionalFormatting>
  <conditionalFormatting sqref="AC7:AC26">
    <cfRule type="cellIs" dxfId="483" priority="1" operator="equal">
      <formula>3</formula>
    </cfRule>
    <cfRule type="cellIs" dxfId="482" priority="2" operator="equal">
      <formula>2</formula>
    </cfRule>
    <cfRule type="cellIs" dxfId="481" priority="3" operator="equal">
      <formula>1</formula>
    </cfRule>
  </conditionalFormatting>
  <pageMargins left="0.75" right="0.75" top="1" bottom="1" header="0.5" footer="0.5"/>
  <pageSetup paperSize="9" scale="55" orientation="landscape" horizontalDpi="4294967292" verticalDpi="4294967292"/>
  <colBreaks count="1" manualBreakCount="1">
    <brk id="29" max="1048575" man="1"/>
  </colBreaks>
  <ignoredErrors>
    <ignoredError sqref="Y7" calculatedColumn="1"/>
    <ignoredError sqref="Z7:Z26" formula="1"/>
  </ignoredErrors>
  <tableParts count="2">
    <tablePart r:id="rId1"/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J81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375" customWidth="1"/>
    <col min="2" max="2" width="19.125" bestFit="1" customWidth="1"/>
    <col min="3" max="4" width="7.5" bestFit="1" customWidth="1"/>
    <col min="5" max="5" width="7.375" bestFit="1" customWidth="1"/>
    <col min="6" max="6" width="0.5" customWidth="1"/>
    <col min="7" max="7" width="5.37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5.5" bestFit="1" customWidth="1"/>
    <col min="14" max="14" width="22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8.875" customWidth="1"/>
    <col min="22" max="22" width="6.125" customWidth="1"/>
    <col min="23" max="23" width="24.375" bestFit="1" customWidth="1"/>
    <col min="24" max="24" width="8.625" customWidth="1"/>
    <col min="25" max="25" width="6.125" style="53" customWidth="1"/>
    <col min="26" max="26" width="10.375" customWidth="1"/>
    <col min="27" max="27" width="5.625" style="57" customWidth="1"/>
    <col min="28" max="28" width="8.875" style="39" customWidth="1"/>
    <col min="29" max="29" width="5.5" style="60" customWidth="1"/>
  </cols>
  <sheetData>
    <row r="1" spans="1:62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62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0"/>
      <c r="BJ2" s="90"/>
    </row>
    <row r="3" spans="1:62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">
      <c r="A4" s="8"/>
      <c r="E4" s="1"/>
      <c r="F4" s="1"/>
      <c r="G4" s="464" t="s">
        <v>127</v>
      </c>
      <c r="H4" s="465"/>
      <c r="I4" s="466"/>
      <c r="M4" s="1"/>
      <c r="N4" s="182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6" spans="1:62" s="8" customFormat="1">
      <c r="A6" s="331" t="s">
        <v>704</v>
      </c>
      <c r="B6" s="71"/>
      <c r="C6" s="71"/>
      <c r="D6" s="71"/>
      <c r="E6" s="72"/>
      <c r="G6" s="331" t="s">
        <v>304</v>
      </c>
      <c r="H6" s="173"/>
      <c r="I6" s="173"/>
      <c r="J6" s="173"/>
      <c r="K6" s="174"/>
      <c r="M6" s="331" t="s">
        <v>555</v>
      </c>
      <c r="N6" s="71"/>
      <c r="O6" s="71"/>
      <c r="P6" s="71"/>
      <c r="Q6" s="72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62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145" t="s">
        <v>1</v>
      </c>
      <c r="H7" s="145" t="s">
        <v>2</v>
      </c>
      <c r="I7" s="145" t="s">
        <v>3</v>
      </c>
      <c r="J7" s="145" t="s">
        <v>4</v>
      </c>
      <c r="K7" s="145" t="s">
        <v>5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16" t="s">
        <v>215</v>
      </c>
      <c r="V7" s="149">
        <v>1057</v>
      </c>
      <c r="W7" s="93" t="s">
        <v>139</v>
      </c>
      <c r="X7" s="14">
        <f>I30</f>
        <v>9.1</v>
      </c>
      <c r="Y7" s="283">
        <f t="shared" ref="Y7:Y51" si="0">SUMPRODUCT((X$7:X$51&gt;X7)/COUNTIF(X$7:X$51,X$7:X$51&amp;""))+1</f>
        <v>7.0000000000000018</v>
      </c>
      <c r="Z7" s="14">
        <f>J30</f>
        <v>8.5500000000000007</v>
      </c>
      <c r="AA7" s="283">
        <f t="shared" ref="AA7:AA51" si="1">SUMPRODUCT((Z$7:Z$51&gt;Z7)/COUNTIF(Z$7:Z$51,Z$7:Z$51&amp;""))+1</f>
        <v>10.000000000000002</v>
      </c>
      <c r="AB7" s="69">
        <f>Table35155057131829[[#This Row],[Floor4]]+Table35155057131829[[#This Row],[Vault6]]</f>
        <v>17.649999999999999</v>
      </c>
      <c r="AC7" s="283">
        <f t="shared" ref="AC7:AC51" si="2">SUMPRODUCT((AB$7:AB$51&gt;AB7)/COUNTIF(AB$7:AB$51,AB$7:AB$51&amp;""))+1</f>
        <v>15</v>
      </c>
    </row>
    <row r="8" spans="1:62">
      <c r="A8" s="149">
        <v>1015</v>
      </c>
      <c r="B8" s="226" t="s">
        <v>57</v>
      </c>
      <c r="C8" s="13">
        <v>7.8</v>
      </c>
      <c r="D8" s="13">
        <v>8.4499999999999993</v>
      </c>
      <c r="E8" s="13">
        <f>SUM(C8,D8)</f>
        <v>16.25</v>
      </c>
      <c r="G8" s="149">
        <v>1021</v>
      </c>
      <c r="H8" s="93" t="s">
        <v>768</v>
      </c>
      <c r="I8" s="13">
        <v>9.3000000000000007</v>
      </c>
      <c r="J8" s="13">
        <v>8.9499999999999993</v>
      </c>
      <c r="K8" s="13">
        <f>SUM(I8,J8)</f>
        <v>18.25</v>
      </c>
      <c r="M8" s="149">
        <v>1027</v>
      </c>
      <c r="N8" s="93" t="s">
        <v>378</v>
      </c>
      <c r="O8" s="13">
        <v>8.3000000000000007</v>
      </c>
      <c r="P8" s="13">
        <v>8.5</v>
      </c>
      <c r="Q8" s="13">
        <f>SUM(O8,P8)</f>
        <v>16.8</v>
      </c>
      <c r="U8" s="16" t="s">
        <v>215</v>
      </c>
      <c r="V8" s="161">
        <v>1058</v>
      </c>
      <c r="W8" s="42" t="s">
        <v>137</v>
      </c>
      <c r="X8" s="14">
        <f>I31</f>
        <v>8.4</v>
      </c>
      <c r="Y8" s="283">
        <f t="shared" si="0"/>
        <v>11.999999999999998</v>
      </c>
      <c r="Z8" s="14">
        <f>J31</f>
        <v>8.8000000000000007</v>
      </c>
      <c r="AA8" s="283">
        <f t="shared" si="1"/>
        <v>6</v>
      </c>
      <c r="AB8" s="69">
        <f>Table35155057131829[[#This Row],[Floor4]]+Table35155057131829[[#This Row],[Vault6]]</f>
        <v>17.200000000000003</v>
      </c>
      <c r="AC8" s="283">
        <f t="shared" si="2"/>
        <v>19</v>
      </c>
    </row>
    <row r="9" spans="1:62">
      <c r="A9" s="149">
        <v>1016</v>
      </c>
      <c r="B9" s="93" t="s">
        <v>86</v>
      </c>
      <c r="C9" s="13">
        <v>8.6</v>
      </c>
      <c r="D9" s="13">
        <v>8.4499999999999993</v>
      </c>
      <c r="E9" s="13">
        <f t="shared" ref="E9:E13" si="3">SUM(C9,D9)</f>
        <v>17.049999999999997</v>
      </c>
      <c r="G9" s="149">
        <v>1022</v>
      </c>
      <c r="H9" s="93" t="s">
        <v>769</v>
      </c>
      <c r="I9" s="13">
        <v>9</v>
      </c>
      <c r="J9" s="13">
        <v>7.7</v>
      </c>
      <c r="K9" s="13">
        <f t="shared" ref="K9:K13" si="4">SUM(I9,J9)</f>
        <v>16.7</v>
      </c>
      <c r="M9" s="149">
        <v>1028</v>
      </c>
      <c r="N9" s="93" t="s">
        <v>980</v>
      </c>
      <c r="O9" s="13">
        <v>9.3000000000000007</v>
      </c>
      <c r="P9" s="13">
        <v>8.25</v>
      </c>
      <c r="Q9" s="13">
        <f t="shared" ref="Q9:Q13" si="5">SUM(O9,P9)</f>
        <v>17.55</v>
      </c>
      <c r="U9" s="16" t="s">
        <v>706</v>
      </c>
      <c r="V9" s="149">
        <v>1015</v>
      </c>
      <c r="W9" s="240" t="s">
        <v>57</v>
      </c>
      <c r="X9" s="14">
        <f>C8</f>
        <v>7.8</v>
      </c>
      <c r="Y9" s="283">
        <f t="shared" si="0"/>
        <v>16</v>
      </c>
      <c r="Z9" s="14">
        <f>D8</f>
        <v>8.4499999999999993</v>
      </c>
      <c r="AA9" s="283">
        <f t="shared" si="1"/>
        <v>12</v>
      </c>
      <c r="AB9" s="69">
        <f>Table35155057131829[[#This Row],[Floor4]]+Table35155057131829[[#This Row],[Vault6]]</f>
        <v>16.25</v>
      </c>
      <c r="AC9" s="283">
        <f t="shared" si="2"/>
        <v>25</v>
      </c>
    </row>
    <row r="10" spans="1:62">
      <c r="A10" s="149">
        <v>1017</v>
      </c>
      <c r="B10" s="93" t="s">
        <v>58</v>
      </c>
      <c r="C10" s="13">
        <v>7.7</v>
      </c>
      <c r="D10" s="13">
        <v>7.6</v>
      </c>
      <c r="E10" s="13">
        <f t="shared" si="3"/>
        <v>15.3</v>
      </c>
      <c r="G10" s="149">
        <v>1023</v>
      </c>
      <c r="H10" s="93" t="s">
        <v>313</v>
      </c>
      <c r="I10" s="13">
        <v>8.9</v>
      </c>
      <c r="J10" s="13">
        <v>8.85</v>
      </c>
      <c r="K10" s="13">
        <f t="shared" si="4"/>
        <v>17.75</v>
      </c>
      <c r="M10" s="149">
        <v>1029</v>
      </c>
      <c r="N10" s="93" t="s">
        <v>981</v>
      </c>
      <c r="O10" s="13">
        <v>8.4</v>
      </c>
      <c r="P10" s="13">
        <v>7</v>
      </c>
      <c r="Q10" s="13">
        <f t="shared" si="5"/>
        <v>15.4</v>
      </c>
      <c r="U10" s="16" t="s">
        <v>706</v>
      </c>
      <c r="V10" s="149">
        <v>1016</v>
      </c>
      <c r="W10" s="93" t="s">
        <v>86</v>
      </c>
      <c r="X10" s="14">
        <f t="shared" ref="X10:X12" si="6">C9</f>
        <v>8.6</v>
      </c>
      <c r="Y10" s="283">
        <f t="shared" si="0"/>
        <v>10.999999999999998</v>
      </c>
      <c r="Z10" s="14">
        <f t="shared" ref="Z10" si="7">D9</f>
        <v>8.4499999999999993</v>
      </c>
      <c r="AA10" s="283">
        <f t="shared" si="1"/>
        <v>12</v>
      </c>
      <c r="AB10" s="69">
        <f>Table35155057131829[[#This Row],[Floor4]]+Table35155057131829[[#This Row],[Vault6]]</f>
        <v>17.049999999999997</v>
      </c>
      <c r="AC10" s="283">
        <f t="shared" si="2"/>
        <v>22</v>
      </c>
    </row>
    <row r="11" spans="1:62">
      <c r="A11" s="149">
        <v>1018</v>
      </c>
      <c r="B11" s="93" t="s">
        <v>705</v>
      </c>
      <c r="C11" s="13">
        <v>8.3000000000000007</v>
      </c>
      <c r="D11" s="13">
        <v>8.85</v>
      </c>
      <c r="E11" s="13">
        <f t="shared" si="3"/>
        <v>17.149999999999999</v>
      </c>
      <c r="G11" s="149">
        <v>1024</v>
      </c>
      <c r="H11" s="93" t="s">
        <v>770</v>
      </c>
      <c r="I11" s="13">
        <v>9.5</v>
      </c>
      <c r="J11" s="13">
        <v>9.15</v>
      </c>
      <c r="K11" s="13">
        <f t="shared" si="4"/>
        <v>18.649999999999999</v>
      </c>
      <c r="M11" s="149">
        <v>1030</v>
      </c>
      <c r="N11" s="93" t="s">
        <v>982</v>
      </c>
      <c r="O11" s="13">
        <v>9.3000000000000007</v>
      </c>
      <c r="P11" s="13">
        <v>7.9</v>
      </c>
      <c r="Q11" s="13">
        <f t="shared" si="5"/>
        <v>17.200000000000003</v>
      </c>
      <c r="U11" s="16" t="s">
        <v>706</v>
      </c>
      <c r="V11" s="149">
        <v>1017</v>
      </c>
      <c r="W11" s="93" t="s">
        <v>58</v>
      </c>
      <c r="X11" s="14">
        <f>C10</f>
        <v>7.7</v>
      </c>
      <c r="Y11" s="283">
        <f t="shared" si="0"/>
        <v>17</v>
      </c>
      <c r="Z11" s="14">
        <f>D10</f>
        <v>7.6</v>
      </c>
      <c r="AA11" s="283">
        <f t="shared" si="1"/>
        <v>23</v>
      </c>
      <c r="AB11" s="69">
        <f>Table35155057131829[[#This Row],[Floor4]]+Table35155057131829[[#This Row],[Vault6]]</f>
        <v>15.3</v>
      </c>
      <c r="AC11" s="283">
        <f t="shared" si="2"/>
        <v>29.999999999999996</v>
      </c>
    </row>
    <row r="12" spans="1:62">
      <c r="A12" s="149">
        <v>1019</v>
      </c>
      <c r="B12" s="97"/>
      <c r="C12" s="13">
        <v>0</v>
      </c>
      <c r="D12" s="13">
        <v>0</v>
      </c>
      <c r="E12" s="13">
        <f t="shared" si="3"/>
        <v>0</v>
      </c>
      <c r="G12" s="149">
        <v>1025</v>
      </c>
      <c r="H12" s="100" t="s">
        <v>771</v>
      </c>
      <c r="I12" s="13">
        <v>9.1999999999999993</v>
      </c>
      <c r="J12" s="13">
        <v>8.9499999999999993</v>
      </c>
      <c r="K12" s="13">
        <f t="shared" si="4"/>
        <v>18.149999999999999</v>
      </c>
      <c r="M12" s="149">
        <v>1031</v>
      </c>
      <c r="N12" s="93" t="s">
        <v>377</v>
      </c>
      <c r="O12" s="13">
        <v>9.3000000000000007</v>
      </c>
      <c r="P12" s="13">
        <v>9.25</v>
      </c>
      <c r="Q12" s="13">
        <f t="shared" si="5"/>
        <v>18.55</v>
      </c>
      <c r="U12" s="16" t="s">
        <v>706</v>
      </c>
      <c r="V12" s="149">
        <v>1018</v>
      </c>
      <c r="W12" s="93" t="s">
        <v>705</v>
      </c>
      <c r="X12" s="14">
        <f t="shared" si="6"/>
        <v>8.3000000000000007</v>
      </c>
      <c r="Y12" s="283">
        <f t="shared" si="0"/>
        <v>12.999999999999998</v>
      </c>
      <c r="Z12" s="14">
        <f>D11</f>
        <v>8.85</v>
      </c>
      <c r="AA12" s="283">
        <f t="shared" si="1"/>
        <v>5</v>
      </c>
      <c r="AB12" s="69">
        <f>Table35155057131829[[#This Row],[Floor4]]+Table35155057131829[[#This Row],[Vault6]]</f>
        <v>17.149999999999999</v>
      </c>
      <c r="AC12" s="283">
        <f t="shared" si="2"/>
        <v>20</v>
      </c>
    </row>
    <row r="13" spans="1:62" ht="16.5" thickBot="1">
      <c r="A13" s="149">
        <v>1020</v>
      </c>
      <c r="B13" s="97"/>
      <c r="C13" s="13">
        <v>0</v>
      </c>
      <c r="D13" s="13">
        <v>0</v>
      </c>
      <c r="E13" s="13">
        <f t="shared" si="3"/>
        <v>0</v>
      </c>
      <c r="F13" s="8"/>
      <c r="G13" s="149">
        <v>1026</v>
      </c>
      <c r="H13" s="93" t="s">
        <v>772</v>
      </c>
      <c r="I13" s="13">
        <v>9.1999999999999993</v>
      </c>
      <c r="J13" s="13">
        <v>8.1999999999999993</v>
      </c>
      <c r="K13" s="13">
        <f t="shared" si="4"/>
        <v>17.399999999999999</v>
      </c>
      <c r="M13" s="149">
        <v>1032</v>
      </c>
      <c r="N13" s="234" t="s">
        <v>1381</v>
      </c>
      <c r="O13" s="13">
        <v>9</v>
      </c>
      <c r="P13" s="13">
        <v>8.1</v>
      </c>
      <c r="Q13" s="13">
        <f t="shared" si="5"/>
        <v>17.100000000000001</v>
      </c>
      <c r="U13" s="16" t="s">
        <v>306</v>
      </c>
      <c r="V13" s="149">
        <v>1021</v>
      </c>
      <c r="W13" s="93" t="s">
        <v>768</v>
      </c>
      <c r="X13" s="14">
        <f>I8</f>
        <v>9.3000000000000007</v>
      </c>
      <c r="Y13" s="283">
        <f t="shared" si="0"/>
        <v>5</v>
      </c>
      <c r="Z13" s="14">
        <f>J8</f>
        <v>8.9499999999999993</v>
      </c>
      <c r="AA13" s="283">
        <f t="shared" si="1"/>
        <v>3</v>
      </c>
      <c r="AB13" s="69">
        <f>Table35155057131829[[#This Row],[Floor4]]+Table35155057131829[[#This Row],[Vault6]]</f>
        <v>18.25</v>
      </c>
      <c r="AC13" s="283">
        <f t="shared" si="2"/>
        <v>6</v>
      </c>
    </row>
    <row r="14" spans="1:62" ht="16.5" thickBot="1">
      <c r="B14" s="25" t="s">
        <v>10</v>
      </c>
      <c r="C14" s="19">
        <f>SUM(C8:C13)-SMALL(C8:C13,1)-SMALL(C8:C13,2)</f>
        <v>32.4</v>
      </c>
      <c r="D14" s="19">
        <f>SUM(D8:D13)-SMALL(D8:D13,1)-SMALL(D8:D13,2)</f>
        <v>33.35</v>
      </c>
      <c r="E14" s="20">
        <f>SUM(C14:D14)</f>
        <v>65.75</v>
      </c>
      <c r="F14" s="8"/>
      <c r="H14" s="25" t="s">
        <v>10</v>
      </c>
      <c r="I14" s="19">
        <f>SUM(I8:I13)-SMALL(I8:I13,1)-SMALL(I8:I13,2)</f>
        <v>37.20000000000001</v>
      </c>
      <c r="J14" s="448">
        <f>SUM(J8:J13)-SMALL(J8:J13,1)-SMALL(J8:J13,2)</f>
        <v>35.899999999999991</v>
      </c>
      <c r="K14" s="20">
        <f>SUM(I14:J14)</f>
        <v>73.099999999999994</v>
      </c>
      <c r="N14" s="25" t="s">
        <v>10</v>
      </c>
      <c r="O14" s="19">
        <f>SUM(O8:O13)-SMALL(O8:O13,1)-SMALL(O8:O13,2)</f>
        <v>36.9</v>
      </c>
      <c r="P14" s="19">
        <f>SUM(P8:P13)-SMALL(P8:P13,1)-SMALL(P8:P13,2)</f>
        <v>34.1</v>
      </c>
      <c r="Q14" s="20">
        <f>SUM(O14:P14)</f>
        <v>71</v>
      </c>
      <c r="U14" s="16" t="s">
        <v>306</v>
      </c>
      <c r="V14" s="149">
        <v>1022</v>
      </c>
      <c r="W14" s="93" t="s">
        <v>769</v>
      </c>
      <c r="X14" s="14">
        <f t="shared" ref="X14:X16" si="8">I9</f>
        <v>9</v>
      </c>
      <c r="Y14" s="283">
        <f t="shared" si="0"/>
        <v>8</v>
      </c>
      <c r="Z14" s="14">
        <f t="shared" ref="Z14:Z18" si="9">J9</f>
        <v>7.7</v>
      </c>
      <c r="AA14" s="283">
        <f t="shared" si="1"/>
        <v>22</v>
      </c>
      <c r="AB14" s="69">
        <f>Table35155057131829[[#This Row],[Floor4]]+Table35155057131829[[#This Row],[Vault6]]</f>
        <v>16.7</v>
      </c>
      <c r="AC14" s="283">
        <f t="shared" si="2"/>
        <v>24</v>
      </c>
    </row>
    <row r="15" spans="1:62">
      <c r="B15" s="94" t="s">
        <v>37</v>
      </c>
      <c r="H15" s="94" t="s">
        <v>37</v>
      </c>
      <c r="I15" s="64"/>
      <c r="J15" s="104"/>
      <c r="K15" s="26"/>
      <c r="N15" s="94" t="s">
        <v>37</v>
      </c>
      <c r="P15" s="25"/>
      <c r="Q15" s="26"/>
      <c r="U15" s="16" t="s">
        <v>306</v>
      </c>
      <c r="V15" s="149">
        <v>1023</v>
      </c>
      <c r="W15" s="93" t="s">
        <v>313</v>
      </c>
      <c r="X15" s="14">
        <f t="shared" si="8"/>
        <v>8.9</v>
      </c>
      <c r="Y15" s="283">
        <f t="shared" si="0"/>
        <v>9.0000000000000018</v>
      </c>
      <c r="Z15" s="14">
        <f t="shared" si="9"/>
        <v>8.85</v>
      </c>
      <c r="AA15" s="283">
        <f t="shared" si="1"/>
        <v>5</v>
      </c>
      <c r="AB15" s="69">
        <f>Table35155057131829[[#This Row],[Floor4]]+Table35155057131829[[#This Row],[Vault6]]</f>
        <v>17.75</v>
      </c>
      <c r="AC15" s="283">
        <f t="shared" si="2"/>
        <v>13</v>
      </c>
    </row>
    <row r="16" spans="1:62">
      <c r="U16" s="16" t="s">
        <v>306</v>
      </c>
      <c r="V16" s="149">
        <v>1024</v>
      </c>
      <c r="W16" s="93" t="s">
        <v>770</v>
      </c>
      <c r="X16" s="14">
        <f t="shared" si="8"/>
        <v>9.5</v>
      </c>
      <c r="Y16" s="283">
        <f t="shared" si="0"/>
        <v>3</v>
      </c>
      <c r="Z16" s="14">
        <f>J11</f>
        <v>9.15</v>
      </c>
      <c r="AA16" s="283">
        <f t="shared" si="1"/>
        <v>2</v>
      </c>
      <c r="AB16" s="69">
        <f>Table35155057131829[[#This Row],[Floor4]]+Table35155057131829[[#This Row],[Vault6]]</f>
        <v>18.649999999999999</v>
      </c>
      <c r="AC16" s="283">
        <f t="shared" si="2"/>
        <v>1</v>
      </c>
    </row>
    <row r="17" spans="1:29">
      <c r="A17" s="331" t="s">
        <v>388</v>
      </c>
      <c r="B17" s="71"/>
      <c r="C17" s="71"/>
      <c r="D17" s="71"/>
      <c r="E17" s="72"/>
      <c r="F17" s="8"/>
      <c r="G17" s="331" t="s">
        <v>482</v>
      </c>
      <c r="H17" s="71"/>
      <c r="I17" s="71"/>
      <c r="J17" s="71"/>
      <c r="K17" s="72"/>
      <c r="M17" s="331" t="s">
        <v>1195</v>
      </c>
      <c r="N17" s="248"/>
      <c r="O17" s="248"/>
      <c r="P17" s="248"/>
      <c r="Q17" s="249"/>
      <c r="U17" s="16" t="s">
        <v>306</v>
      </c>
      <c r="V17" s="149">
        <v>1025</v>
      </c>
      <c r="W17" s="100" t="s">
        <v>771</v>
      </c>
      <c r="X17" s="14">
        <f>I12</f>
        <v>9.1999999999999993</v>
      </c>
      <c r="Y17" s="283">
        <f t="shared" si="0"/>
        <v>6.0000000000000018</v>
      </c>
      <c r="Z17" s="14">
        <f>J12</f>
        <v>8.9499999999999993</v>
      </c>
      <c r="AA17" s="283">
        <f t="shared" si="1"/>
        <v>3</v>
      </c>
      <c r="AB17" s="69">
        <f>Table35155057131829[[#This Row],[Floor4]]+Table35155057131829[[#This Row],[Vault6]]</f>
        <v>18.149999999999999</v>
      </c>
      <c r="AC17" s="283">
        <f t="shared" si="2"/>
        <v>8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G18" s="9" t="s">
        <v>1</v>
      </c>
      <c r="H18" s="9" t="s">
        <v>2</v>
      </c>
      <c r="I18" s="9" t="s">
        <v>3</v>
      </c>
      <c r="J18" s="9" t="s">
        <v>4</v>
      </c>
      <c r="K18" s="9" t="s">
        <v>5</v>
      </c>
      <c r="M18" s="9" t="s">
        <v>1</v>
      </c>
      <c r="N18" s="9" t="s">
        <v>2</v>
      </c>
      <c r="O18" s="9" t="s">
        <v>3</v>
      </c>
      <c r="P18" s="9" t="s">
        <v>4</v>
      </c>
      <c r="Q18" s="9" t="s">
        <v>5</v>
      </c>
      <c r="U18" s="16" t="s">
        <v>306</v>
      </c>
      <c r="V18" s="149">
        <v>1026</v>
      </c>
      <c r="W18" s="93" t="s">
        <v>772</v>
      </c>
      <c r="X18" s="14">
        <f>I13</f>
        <v>9.1999999999999993</v>
      </c>
      <c r="Y18" s="283">
        <f t="shared" si="0"/>
        <v>6.0000000000000018</v>
      </c>
      <c r="Z18" s="14">
        <f t="shared" si="9"/>
        <v>8.1999999999999993</v>
      </c>
      <c r="AA18" s="283">
        <f t="shared" si="1"/>
        <v>16</v>
      </c>
      <c r="AB18" s="69">
        <f>Table35155057131829[[#This Row],[Floor4]]+Table35155057131829[[#This Row],[Vault6]]</f>
        <v>17.399999999999999</v>
      </c>
      <c r="AC18" s="283">
        <f t="shared" si="2"/>
        <v>17</v>
      </c>
    </row>
    <row r="19" spans="1:29">
      <c r="A19" s="149">
        <v>1033</v>
      </c>
      <c r="B19" s="93" t="s">
        <v>1002</v>
      </c>
      <c r="C19" s="13">
        <v>9.1</v>
      </c>
      <c r="D19" s="13">
        <v>8.5500000000000007</v>
      </c>
      <c r="E19" s="13">
        <f>SUM(C19,D19)</f>
        <v>17.649999999999999</v>
      </c>
      <c r="G19" s="149">
        <v>1039</v>
      </c>
      <c r="H19" s="93" t="s">
        <v>186</v>
      </c>
      <c r="I19" s="13">
        <v>9</v>
      </c>
      <c r="J19" s="13">
        <v>8.9499999999999993</v>
      </c>
      <c r="K19" s="13">
        <f>SUM(I19,J19)</f>
        <v>17.95</v>
      </c>
      <c r="M19" s="149">
        <v>1045</v>
      </c>
      <c r="N19" s="93" t="s">
        <v>1197</v>
      </c>
      <c r="O19" s="13">
        <v>8.3000000000000007</v>
      </c>
      <c r="P19" s="13">
        <v>6.95</v>
      </c>
      <c r="Q19" s="13">
        <f>SUM(O19,P19)</f>
        <v>15.25</v>
      </c>
      <c r="U19" s="16" t="s">
        <v>983</v>
      </c>
      <c r="V19" s="149">
        <v>1027</v>
      </c>
      <c r="W19" s="93" t="s">
        <v>378</v>
      </c>
      <c r="X19" s="14">
        <f>O8</f>
        <v>8.3000000000000007</v>
      </c>
      <c r="Y19" s="283">
        <f t="shared" si="0"/>
        <v>12.999999999999998</v>
      </c>
      <c r="Z19" s="14">
        <f>P8</f>
        <v>8.5</v>
      </c>
      <c r="AA19" s="283">
        <f t="shared" si="1"/>
        <v>11</v>
      </c>
      <c r="AB19" s="69">
        <f>Table35155057131829[[#This Row],[Floor4]]+Table35155057131829[[#This Row],[Vault6]]</f>
        <v>16.8</v>
      </c>
      <c r="AC19" s="283">
        <f t="shared" si="2"/>
        <v>23</v>
      </c>
    </row>
    <row r="20" spans="1:29">
      <c r="A20" s="149">
        <v>1034</v>
      </c>
      <c r="B20" s="93" t="s">
        <v>446</v>
      </c>
      <c r="C20" s="13">
        <v>9.1</v>
      </c>
      <c r="D20" s="13">
        <v>8.85</v>
      </c>
      <c r="E20" s="13">
        <f t="shared" ref="E20:E24" si="10">SUM(C20,D20)</f>
        <v>17.95</v>
      </c>
      <c r="G20" s="149">
        <v>1040</v>
      </c>
      <c r="H20" s="93" t="s">
        <v>187</v>
      </c>
      <c r="I20" s="13">
        <v>8.8000000000000007</v>
      </c>
      <c r="J20" s="13">
        <v>8.9</v>
      </c>
      <c r="K20" s="13">
        <f t="shared" ref="K20:K24" si="11">SUM(I20,J20)</f>
        <v>17.700000000000003</v>
      </c>
      <c r="M20" s="149">
        <v>1046</v>
      </c>
      <c r="N20" s="93" t="s">
        <v>97</v>
      </c>
      <c r="O20" s="13">
        <v>9</v>
      </c>
      <c r="P20" s="13">
        <v>8.35</v>
      </c>
      <c r="Q20" s="13">
        <f t="shared" ref="Q20:Q24" si="12">SUM(O20,P20)</f>
        <v>17.350000000000001</v>
      </c>
      <c r="U20" s="16" t="s">
        <v>983</v>
      </c>
      <c r="V20" s="149">
        <v>1028</v>
      </c>
      <c r="W20" s="93" t="s">
        <v>980</v>
      </c>
      <c r="X20" s="14">
        <f t="shared" ref="X20:X23" si="13">O9</f>
        <v>9.3000000000000007</v>
      </c>
      <c r="Y20" s="283">
        <f t="shared" si="0"/>
        <v>5</v>
      </c>
      <c r="Z20" s="14">
        <f t="shared" ref="Z20:Z23" si="14">P9</f>
        <v>8.25</v>
      </c>
      <c r="AA20" s="283">
        <f t="shared" si="1"/>
        <v>15</v>
      </c>
      <c r="AB20" s="69">
        <f>Table35155057131829[[#This Row],[Floor4]]+Table35155057131829[[#This Row],[Vault6]]</f>
        <v>17.55</v>
      </c>
      <c r="AC20" s="283">
        <f t="shared" si="2"/>
        <v>16</v>
      </c>
    </row>
    <row r="21" spans="1:29">
      <c r="A21" s="149">
        <v>1035</v>
      </c>
      <c r="B21" s="93" t="s">
        <v>1003</v>
      </c>
      <c r="C21" s="13">
        <v>9.6</v>
      </c>
      <c r="D21" s="13">
        <v>8.75</v>
      </c>
      <c r="E21" s="13">
        <f t="shared" si="10"/>
        <v>18.350000000000001</v>
      </c>
      <c r="G21" s="149">
        <v>1041</v>
      </c>
      <c r="H21" s="93" t="s">
        <v>1186</v>
      </c>
      <c r="I21" s="13">
        <v>9</v>
      </c>
      <c r="J21" s="13">
        <v>8.85</v>
      </c>
      <c r="K21" s="13">
        <f t="shared" si="11"/>
        <v>17.850000000000001</v>
      </c>
      <c r="M21" s="149">
        <v>1047</v>
      </c>
      <c r="N21" s="93" t="s">
        <v>489</v>
      </c>
      <c r="O21" s="13">
        <v>6.7</v>
      </c>
      <c r="P21" s="13">
        <v>7.95</v>
      </c>
      <c r="Q21" s="13">
        <f t="shared" si="12"/>
        <v>14.65</v>
      </c>
      <c r="U21" s="16" t="s">
        <v>983</v>
      </c>
      <c r="V21" s="149">
        <v>1029</v>
      </c>
      <c r="W21" s="93" t="s">
        <v>981</v>
      </c>
      <c r="X21" s="14">
        <f t="shared" si="13"/>
        <v>8.4</v>
      </c>
      <c r="Y21" s="283">
        <f t="shared" si="0"/>
        <v>11.999999999999998</v>
      </c>
      <c r="Z21" s="14">
        <f t="shared" si="14"/>
        <v>7</v>
      </c>
      <c r="AA21" s="283">
        <f t="shared" si="1"/>
        <v>27</v>
      </c>
      <c r="AB21" s="69">
        <f>Table35155057131829[[#This Row],[Floor4]]+Table35155057131829[[#This Row],[Vault6]]</f>
        <v>15.4</v>
      </c>
      <c r="AC21" s="283">
        <f t="shared" si="2"/>
        <v>29</v>
      </c>
    </row>
    <row r="22" spans="1:29">
      <c r="A22" s="149">
        <v>1036</v>
      </c>
      <c r="B22" s="93" t="s">
        <v>389</v>
      </c>
      <c r="C22" s="13">
        <v>9.5</v>
      </c>
      <c r="D22" s="13">
        <v>8.65</v>
      </c>
      <c r="E22" s="13">
        <f t="shared" si="10"/>
        <v>18.149999999999999</v>
      </c>
      <c r="G22" s="149">
        <v>1042</v>
      </c>
      <c r="H22" s="93" t="s">
        <v>1187</v>
      </c>
      <c r="I22" s="13">
        <v>9.9</v>
      </c>
      <c r="J22" s="13">
        <v>8.75</v>
      </c>
      <c r="K22" s="13">
        <f t="shared" si="11"/>
        <v>18.649999999999999</v>
      </c>
      <c r="M22" s="149">
        <v>1048</v>
      </c>
      <c r="N22" s="93" t="s">
        <v>1198</v>
      </c>
      <c r="O22" s="13">
        <v>7.7</v>
      </c>
      <c r="P22" s="13">
        <v>8</v>
      </c>
      <c r="Q22" s="13">
        <f t="shared" si="12"/>
        <v>15.7</v>
      </c>
      <c r="U22" s="16" t="s">
        <v>983</v>
      </c>
      <c r="V22" s="149">
        <v>1030</v>
      </c>
      <c r="W22" s="93" t="s">
        <v>982</v>
      </c>
      <c r="X22" s="14">
        <f>O11</f>
        <v>9.3000000000000007</v>
      </c>
      <c r="Y22" s="283">
        <f t="shared" si="0"/>
        <v>5</v>
      </c>
      <c r="Z22" s="14">
        <f>P11</f>
        <v>7.9</v>
      </c>
      <c r="AA22" s="283">
        <f t="shared" si="1"/>
        <v>20</v>
      </c>
      <c r="AB22" s="69">
        <f>Table35155057131829[[#This Row],[Floor4]]+Table35155057131829[[#This Row],[Vault6]]</f>
        <v>17.200000000000003</v>
      </c>
      <c r="AC22" s="283">
        <f t="shared" si="2"/>
        <v>19</v>
      </c>
    </row>
    <row r="23" spans="1:29">
      <c r="A23" s="149">
        <v>1037</v>
      </c>
      <c r="B23" s="97"/>
      <c r="C23" s="13">
        <v>0</v>
      </c>
      <c r="D23" s="13">
        <v>0</v>
      </c>
      <c r="E23" s="13">
        <f t="shared" si="10"/>
        <v>0</v>
      </c>
      <c r="G23" s="149">
        <v>1043</v>
      </c>
      <c r="H23" s="93" t="s">
        <v>1188</v>
      </c>
      <c r="I23" s="13">
        <v>9.4</v>
      </c>
      <c r="J23" s="13">
        <v>8.8000000000000007</v>
      </c>
      <c r="K23" s="13">
        <f t="shared" si="11"/>
        <v>18.200000000000003</v>
      </c>
      <c r="M23" s="149">
        <v>1049</v>
      </c>
      <c r="N23" s="93" t="s">
        <v>1199</v>
      </c>
      <c r="O23" s="13">
        <v>8.8000000000000007</v>
      </c>
      <c r="P23" s="13">
        <v>8.25</v>
      </c>
      <c r="Q23" s="13">
        <f t="shared" si="12"/>
        <v>17.05</v>
      </c>
      <c r="U23" s="16" t="s">
        <v>983</v>
      </c>
      <c r="V23" s="149">
        <v>1031</v>
      </c>
      <c r="W23" s="93" t="s">
        <v>377</v>
      </c>
      <c r="X23" s="14">
        <f t="shared" si="13"/>
        <v>9.3000000000000007</v>
      </c>
      <c r="Y23" s="283">
        <f t="shared" si="0"/>
        <v>5</v>
      </c>
      <c r="Z23" s="14">
        <f t="shared" si="14"/>
        <v>9.25</v>
      </c>
      <c r="AA23" s="283">
        <f t="shared" si="1"/>
        <v>1</v>
      </c>
      <c r="AB23" s="69">
        <f>Table35155057131829[[#This Row],[Floor4]]+Table35155057131829[[#This Row],[Vault6]]</f>
        <v>18.55</v>
      </c>
      <c r="AC23" s="283">
        <f t="shared" si="2"/>
        <v>2</v>
      </c>
    </row>
    <row r="24" spans="1:29" ht="16.5" thickBot="1">
      <c r="A24" s="149">
        <v>1038</v>
      </c>
      <c r="B24" s="97"/>
      <c r="C24" s="13">
        <v>0</v>
      </c>
      <c r="D24" s="13">
        <v>0</v>
      </c>
      <c r="E24" s="13">
        <f t="shared" si="10"/>
        <v>0</v>
      </c>
      <c r="F24" s="8"/>
      <c r="G24" s="149">
        <v>1044</v>
      </c>
      <c r="H24" s="97"/>
      <c r="I24" s="13">
        <v>0</v>
      </c>
      <c r="J24" s="13">
        <v>0</v>
      </c>
      <c r="K24" s="13">
        <f t="shared" si="11"/>
        <v>0</v>
      </c>
      <c r="M24" s="149">
        <v>1050</v>
      </c>
      <c r="N24" s="97"/>
      <c r="O24" s="13">
        <v>0</v>
      </c>
      <c r="P24" s="13">
        <v>0</v>
      </c>
      <c r="Q24" s="13">
        <f t="shared" si="12"/>
        <v>0</v>
      </c>
      <c r="U24" s="16" t="s">
        <v>983</v>
      </c>
      <c r="V24" s="366">
        <v>1032</v>
      </c>
      <c r="W24" s="330" t="s">
        <v>1381</v>
      </c>
      <c r="X24" s="14">
        <f>O13</f>
        <v>9</v>
      </c>
      <c r="Y24" s="236">
        <f t="shared" si="0"/>
        <v>8</v>
      </c>
      <c r="Z24" s="14">
        <f>P13</f>
        <v>8.1</v>
      </c>
      <c r="AA24" s="236">
        <f t="shared" si="1"/>
        <v>17</v>
      </c>
      <c r="AB24" s="69">
        <f>Table35155057131829[[#This Row],[Floor4]]+Table35155057131829[[#This Row],[Vault6]]</f>
        <v>17.100000000000001</v>
      </c>
      <c r="AC24" s="236">
        <f t="shared" si="2"/>
        <v>21</v>
      </c>
    </row>
    <row r="25" spans="1:29" ht="16.5" thickBot="1">
      <c r="B25" s="25" t="s">
        <v>10</v>
      </c>
      <c r="C25" s="19">
        <f>SUM(C19:C24)-SMALL(C19:C24,1)-SMALL(C19:C24,2)</f>
        <v>37.299999999999997</v>
      </c>
      <c r="D25" s="19">
        <f>SUM(D19:D24)-SMALL(D19:D24,1)-SMALL(D19:D24,2)</f>
        <v>34.799999999999997</v>
      </c>
      <c r="E25" s="20">
        <f>SUM(C25:D25)</f>
        <v>72.099999999999994</v>
      </c>
      <c r="F25" s="8"/>
      <c r="H25" s="25" t="s">
        <v>10</v>
      </c>
      <c r="I25" s="19">
        <f>SUM(I19:I24)-SMALL(I19:I24,1)-SMALL(I19:I24,2)</f>
        <v>37.299999999999997</v>
      </c>
      <c r="J25" s="19">
        <f>SUM(J19:J24)-SMALL(J19:J24,1)-SMALL(J19:J24,2)</f>
        <v>35.5</v>
      </c>
      <c r="K25" s="20">
        <f>SUM(I25:J25)</f>
        <v>72.8</v>
      </c>
      <c r="N25" s="25" t="s">
        <v>10</v>
      </c>
      <c r="O25" s="19">
        <f>SUM(O19:O24)-SMALL(O19:O24,1)-SMALL(O19:O24,2)</f>
        <v>33.799999999999997</v>
      </c>
      <c r="P25" s="19">
        <f>SUM(P19:P24)-SMALL(P19:P24,1)-SMALL(P19:P24,2)</f>
        <v>32.549999999999997</v>
      </c>
      <c r="Q25" s="20">
        <f>SUM(O25:P25)</f>
        <v>66.349999999999994</v>
      </c>
      <c r="U25" s="16" t="s">
        <v>391</v>
      </c>
      <c r="V25" s="149">
        <v>1033</v>
      </c>
      <c r="W25" s="93" t="s">
        <v>1002</v>
      </c>
      <c r="X25" s="14">
        <f>C19</f>
        <v>9.1</v>
      </c>
      <c r="Y25" s="283">
        <f t="shared" si="0"/>
        <v>7.0000000000000018</v>
      </c>
      <c r="Z25" s="14">
        <f>D19</f>
        <v>8.5500000000000007</v>
      </c>
      <c r="AA25" s="283">
        <f t="shared" si="1"/>
        <v>10.000000000000002</v>
      </c>
      <c r="AB25" s="69">
        <f>Table35155057131829[[#This Row],[Floor4]]+Table35155057131829[[#This Row],[Vault6]]</f>
        <v>17.649999999999999</v>
      </c>
      <c r="AC25" s="283">
        <f t="shared" si="2"/>
        <v>15</v>
      </c>
    </row>
    <row r="26" spans="1:29">
      <c r="B26" s="94" t="s">
        <v>37</v>
      </c>
      <c r="D26" s="25"/>
      <c r="E26" s="26"/>
      <c r="H26" s="94" t="s">
        <v>37</v>
      </c>
      <c r="J26" s="25"/>
      <c r="K26" s="26"/>
      <c r="N26" s="94" t="s">
        <v>37</v>
      </c>
      <c r="P26" s="25"/>
      <c r="Q26" s="26"/>
      <c r="U26" s="16" t="s">
        <v>391</v>
      </c>
      <c r="V26" s="149">
        <v>1034</v>
      </c>
      <c r="W26" s="93" t="s">
        <v>446</v>
      </c>
      <c r="X26" s="14">
        <f t="shared" ref="X26:X27" si="15">C20</f>
        <v>9.1</v>
      </c>
      <c r="Y26" s="283">
        <f t="shared" si="0"/>
        <v>7.0000000000000018</v>
      </c>
      <c r="Z26" s="14">
        <f t="shared" ref="Z26" si="16">D20</f>
        <v>8.85</v>
      </c>
      <c r="AA26" s="283">
        <f t="shared" si="1"/>
        <v>5</v>
      </c>
      <c r="AB26" s="69">
        <f>Table35155057131829[[#This Row],[Floor4]]+Table35155057131829[[#This Row],[Vault6]]</f>
        <v>17.95</v>
      </c>
      <c r="AC26" s="283">
        <f t="shared" si="2"/>
        <v>10</v>
      </c>
    </row>
    <row r="27" spans="1:29">
      <c r="U27" s="16" t="s">
        <v>391</v>
      </c>
      <c r="V27" s="149">
        <v>1035</v>
      </c>
      <c r="W27" s="93" t="s">
        <v>1003</v>
      </c>
      <c r="X27" s="14">
        <f t="shared" si="15"/>
        <v>9.6</v>
      </c>
      <c r="Y27" s="283">
        <f t="shared" si="0"/>
        <v>2</v>
      </c>
      <c r="Z27" s="14">
        <f>D21</f>
        <v>8.75</v>
      </c>
      <c r="AA27" s="283">
        <f t="shared" si="1"/>
        <v>7</v>
      </c>
      <c r="AB27" s="69">
        <f>Table35155057131829[[#This Row],[Floor4]]+Table35155057131829[[#This Row],[Vault6]]</f>
        <v>18.350000000000001</v>
      </c>
      <c r="AC27" s="283">
        <f t="shared" si="2"/>
        <v>4</v>
      </c>
    </row>
    <row r="28" spans="1:29">
      <c r="A28" s="331" t="s">
        <v>1196</v>
      </c>
      <c r="B28" s="248"/>
      <c r="C28" s="248"/>
      <c r="D28" s="248"/>
      <c r="E28" s="249"/>
      <c r="F28" s="8"/>
      <c r="G28" s="331" t="s">
        <v>1326</v>
      </c>
      <c r="H28" s="332"/>
      <c r="I28" s="214"/>
      <c r="J28" s="214"/>
      <c r="K28" s="215"/>
      <c r="L28" s="1"/>
      <c r="M28" s="175"/>
      <c r="N28" s="39" t="s">
        <v>12</v>
      </c>
      <c r="O28" s="43" t="s">
        <v>5</v>
      </c>
      <c r="P28" s="44" t="s">
        <v>11</v>
      </c>
      <c r="Q28" s="175"/>
      <c r="U28" s="16" t="s">
        <v>391</v>
      </c>
      <c r="V28" s="149">
        <v>1036</v>
      </c>
      <c r="W28" s="93" t="s">
        <v>389</v>
      </c>
      <c r="X28" s="14">
        <f>C22</f>
        <v>9.5</v>
      </c>
      <c r="Y28" s="283">
        <f t="shared" si="0"/>
        <v>3</v>
      </c>
      <c r="Z28" s="14">
        <f>D22</f>
        <v>8.65</v>
      </c>
      <c r="AA28" s="283">
        <f t="shared" si="1"/>
        <v>9</v>
      </c>
      <c r="AB28" s="69">
        <f>Table35155057131829[[#This Row],[Floor4]]+Table35155057131829[[#This Row],[Vault6]]</f>
        <v>18.149999999999999</v>
      </c>
      <c r="AC28" s="283">
        <f t="shared" si="2"/>
        <v>8</v>
      </c>
    </row>
    <row r="29" spans="1:29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  <c r="G29" s="9" t="s">
        <v>1</v>
      </c>
      <c r="H29" s="9" t="s">
        <v>2</v>
      </c>
      <c r="I29" s="9" t="s">
        <v>3</v>
      </c>
      <c r="J29" s="9" t="s">
        <v>4</v>
      </c>
      <c r="K29" s="9" t="s">
        <v>5</v>
      </c>
      <c r="L29" s="1"/>
      <c r="M29" s="111"/>
      <c r="N29" s="63" t="s">
        <v>1288</v>
      </c>
      <c r="O29" s="64">
        <f>E14</f>
        <v>65.75</v>
      </c>
      <c r="P29" s="40">
        <f>SUMPRODUCT((O$29:O$35&gt;O29)/COUNTIF(O$29:O$35,O$29:O$35&amp;""))+1</f>
        <v>6</v>
      </c>
      <c r="Q29" s="111"/>
      <c r="U29" s="16" t="s">
        <v>1104</v>
      </c>
      <c r="V29" s="149">
        <v>1060</v>
      </c>
      <c r="W29" s="93" t="s">
        <v>1103</v>
      </c>
      <c r="X29" s="14">
        <f>I35</f>
        <v>9.5</v>
      </c>
      <c r="Y29" s="283">
        <f t="shared" si="0"/>
        <v>3</v>
      </c>
      <c r="Z29" s="14">
        <f>J35</f>
        <v>8.9</v>
      </c>
      <c r="AA29" s="283">
        <f t="shared" si="1"/>
        <v>4</v>
      </c>
      <c r="AB29" s="69">
        <f>Table35155057131829[[#This Row],[Floor4]]+Table35155057131829[[#This Row],[Vault6]]</f>
        <v>18.399999999999999</v>
      </c>
      <c r="AC29" s="283">
        <f t="shared" si="2"/>
        <v>3</v>
      </c>
    </row>
    <row r="30" spans="1:29">
      <c r="A30" s="149">
        <v>1051</v>
      </c>
      <c r="B30" s="93" t="s">
        <v>1200</v>
      </c>
      <c r="C30" s="13">
        <v>8.1999999999999993</v>
      </c>
      <c r="D30" s="13">
        <v>7.55</v>
      </c>
      <c r="E30" s="13">
        <f>SUM(C30,D30)</f>
        <v>15.75</v>
      </c>
      <c r="G30" s="149">
        <v>1057</v>
      </c>
      <c r="H30" s="93" t="s">
        <v>139</v>
      </c>
      <c r="I30" s="14">
        <v>9.1</v>
      </c>
      <c r="J30" s="14">
        <v>8.5500000000000007</v>
      </c>
      <c r="K30" s="14">
        <f>SUM(I30,J30)</f>
        <v>17.649999999999999</v>
      </c>
      <c r="L30" s="1"/>
      <c r="M30" s="152"/>
      <c r="N30" s="63" t="s">
        <v>1289</v>
      </c>
      <c r="O30" s="62">
        <f>K14</f>
        <v>73.099999999999994</v>
      </c>
      <c r="P30" s="40">
        <f t="shared" ref="P30:P35" si="17">SUMPRODUCT((O$29:O$35&gt;O30)/COUNTIF(O$29:O$35,O$29:O$35&amp;""))+1</f>
        <v>1</v>
      </c>
      <c r="Q30" s="73"/>
      <c r="U30" s="16" t="s">
        <v>1104</v>
      </c>
      <c r="V30" s="149">
        <v>1061</v>
      </c>
      <c r="W30" s="93" t="s">
        <v>1102</v>
      </c>
      <c r="X30" s="14">
        <f>I36</f>
        <v>8.9</v>
      </c>
      <c r="Y30" s="283">
        <f t="shared" si="0"/>
        <v>9.0000000000000018</v>
      </c>
      <c r="Z30" s="14">
        <f>J36</f>
        <v>8.9499999999999993</v>
      </c>
      <c r="AA30" s="283">
        <f t="shared" si="1"/>
        <v>3</v>
      </c>
      <c r="AB30" s="69">
        <f>Table35155057131829[[#This Row],[Floor4]]+Table35155057131829[[#This Row],[Vault6]]</f>
        <v>17.850000000000001</v>
      </c>
      <c r="AC30" s="283">
        <f t="shared" si="2"/>
        <v>12</v>
      </c>
    </row>
    <row r="31" spans="1:29">
      <c r="A31" s="149">
        <v>1052</v>
      </c>
      <c r="B31" s="93" t="s">
        <v>1201</v>
      </c>
      <c r="C31" s="13">
        <v>8</v>
      </c>
      <c r="D31" s="13">
        <v>7.4</v>
      </c>
      <c r="E31" s="13">
        <f t="shared" ref="E31:E35" si="18">SUM(C31,D31)</f>
        <v>15.4</v>
      </c>
      <c r="G31" s="161">
        <v>1058</v>
      </c>
      <c r="H31" s="42" t="s">
        <v>137</v>
      </c>
      <c r="I31" s="14">
        <v>8.4</v>
      </c>
      <c r="J31" s="14">
        <v>8.8000000000000007</v>
      </c>
      <c r="K31" s="14">
        <f>SUM(I31,J31)</f>
        <v>17.200000000000003</v>
      </c>
      <c r="L31" s="1"/>
      <c r="M31" s="152"/>
      <c r="N31" s="63" t="s">
        <v>555</v>
      </c>
      <c r="O31" s="64">
        <f>Q14</f>
        <v>71</v>
      </c>
      <c r="P31" s="40">
        <f t="shared" si="17"/>
        <v>4</v>
      </c>
      <c r="Q31" s="73"/>
      <c r="U31" s="16" t="s">
        <v>1193</v>
      </c>
      <c r="V31" s="149">
        <v>1039</v>
      </c>
      <c r="W31" s="93" t="s">
        <v>186</v>
      </c>
      <c r="X31" s="14">
        <f>I19</f>
        <v>9</v>
      </c>
      <c r="Y31" s="283">
        <f t="shared" si="0"/>
        <v>8</v>
      </c>
      <c r="Z31" s="14">
        <f>J19</f>
        <v>8.9499999999999993</v>
      </c>
      <c r="AA31" s="283">
        <f t="shared" si="1"/>
        <v>3</v>
      </c>
      <c r="AB31" s="69">
        <f>Table35155057131829[[#This Row],[Floor4]]+Table35155057131829[[#This Row],[Vault6]]</f>
        <v>17.95</v>
      </c>
      <c r="AC31" s="283">
        <f t="shared" si="2"/>
        <v>10</v>
      </c>
    </row>
    <row r="32" spans="1:29">
      <c r="A32" s="149">
        <v>1053</v>
      </c>
      <c r="B32" s="93" t="s">
        <v>1202</v>
      </c>
      <c r="C32" s="13">
        <v>9.1</v>
      </c>
      <c r="D32" s="13">
        <v>8.75</v>
      </c>
      <c r="E32" s="13">
        <f t="shared" si="18"/>
        <v>17.850000000000001</v>
      </c>
      <c r="G32" s="152"/>
      <c r="H32" s="110"/>
      <c r="I32" s="73"/>
      <c r="J32" s="73"/>
      <c r="K32" s="73"/>
      <c r="L32" s="1"/>
      <c r="M32" s="152"/>
      <c r="N32" s="54" t="s">
        <v>397</v>
      </c>
      <c r="O32" s="62">
        <f>E25</f>
        <v>72.099999999999994</v>
      </c>
      <c r="P32" s="40">
        <f t="shared" si="17"/>
        <v>3</v>
      </c>
      <c r="Q32" s="73"/>
      <c r="U32" s="16" t="s">
        <v>1193</v>
      </c>
      <c r="V32" s="149">
        <v>1040</v>
      </c>
      <c r="W32" s="93" t="s">
        <v>187</v>
      </c>
      <c r="X32" s="14">
        <f t="shared" ref="X32" si="19">I20</f>
        <v>8.8000000000000007</v>
      </c>
      <c r="Y32" s="283">
        <f t="shared" si="0"/>
        <v>9.9999999999999982</v>
      </c>
      <c r="Z32" s="14">
        <f t="shared" ref="Z32:Z35" si="20">J20</f>
        <v>8.9</v>
      </c>
      <c r="AA32" s="283">
        <f t="shared" si="1"/>
        <v>4</v>
      </c>
      <c r="AB32" s="69">
        <f>Table35155057131829[[#This Row],[Floor4]]+Table35155057131829[[#This Row],[Vault6]]</f>
        <v>17.700000000000003</v>
      </c>
      <c r="AC32" s="283">
        <f t="shared" si="2"/>
        <v>14</v>
      </c>
    </row>
    <row r="33" spans="1:29">
      <c r="A33" s="149">
        <v>1054</v>
      </c>
      <c r="B33" s="93" t="s">
        <v>488</v>
      </c>
      <c r="C33" s="13">
        <v>7.4</v>
      </c>
      <c r="D33" s="13">
        <v>7.5</v>
      </c>
      <c r="E33" s="13">
        <f t="shared" si="18"/>
        <v>14.9</v>
      </c>
      <c r="G33" s="331" t="s">
        <v>1328</v>
      </c>
      <c r="H33" s="220"/>
      <c r="I33" s="220"/>
      <c r="J33" s="220"/>
      <c r="K33" s="221"/>
      <c r="L33" s="1"/>
      <c r="M33" s="152"/>
      <c r="N33" s="45" t="s">
        <v>482</v>
      </c>
      <c r="O33" s="47">
        <f>K25</f>
        <v>72.8</v>
      </c>
      <c r="P33" s="40">
        <f t="shared" si="17"/>
        <v>2</v>
      </c>
      <c r="Q33" s="73"/>
      <c r="U33" s="16" t="s">
        <v>1193</v>
      </c>
      <c r="V33" s="149">
        <v>1041</v>
      </c>
      <c r="W33" s="93" t="s">
        <v>1186</v>
      </c>
      <c r="X33" s="14">
        <f>I21</f>
        <v>9</v>
      </c>
      <c r="Y33" s="283">
        <f t="shared" si="0"/>
        <v>8</v>
      </c>
      <c r="Z33" s="14">
        <f>J21</f>
        <v>8.85</v>
      </c>
      <c r="AA33" s="283">
        <f t="shared" si="1"/>
        <v>5</v>
      </c>
      <c r="AB33" s="69">
        <f>Table35155057131829[[#This Row],[Floor4]]+Table35155057131829[[#This Row],[Vault6]]</f>
        <v>17.850000000000001</v>
      </c>
      <c r="AC33" s="283">
        <f t="shared" si="2"/>
        <v>12</v>
      </c>
    </row>
    <row r="34" spans="1:29">
      <c r="A34" s="149">
        <v>1055</v>
      </c>
      <c r="B34" s="93" t="s">
        <v>1203</v>
      </c>
      <c r="C34" s="13">
        <v>8.1999999999999993</v>
      </c>
      <c r="D34" s="13">
        <v>7.85</v>
      </c>
      <c r="E34" s="13">
        <f t="shared" si="18"/>
        <v>16.049999999999997</v>
      </c>
      <c r="G34" s="9" t="s">
        <v>1</v>
      </c>
      <c r="H34" s="9" t="s">
        <v>2</v>
      </c>
      <c r="I34" s="9" t="s">
        <v>3</v>
      </c>
      <c r="J34" s="9" t="s">
        <v>4</v>
      </c>
      <c r="K34" s="9" t="s">
        <v>5</v>
      </c>
      <c r="L34" s="1"/>
      <c r="M34" s="152"/>
      <c r="N34" s="45" t="s">
        <v>1290</v>
      </c>
      <c r="O34" s="46">
        <f>Q25</f>
        <v>66.349999999999994</v>
      </c>
      <c r="P34" s="40">
        <f t="shared" si="17"/>
        <v>5</v>
      </c>
      <c r="Q34" s="73"/>
      <c r="U34" s="16" t="s">
        <v>1193</v>
      </c>
      <c r="V34" s="149">
        <v>1042</v>
      </c>
      <c r="W34" s="93" t="s">
        <v>1187</v>
      </c>
      <c r="X34" s="14">
        <f>I22</f>
        <v>9.9</v>
      </c>
      <c r="Y34" s="283">
        <f t="shared" si="0"/>
        <v>1</v>
      </c>
      <c r="Z34" s="14">
        <f>J22</f>
        <v>8.75</v>
      </c>
      <c r="AA34" s="283">
        <f t="shared" si="1"/>
        <v>7</v>
      </c>
      <c r="AB34" s="69">
        <f>Table35155057131829[[#This Row],[Floor4]]+Table35155057131829[[#This Row],[Vault6]]</f>
        <v>18.649999999999999</v>
      </c>
      <c r="AC34" s="283">
        <f t="shared" si="2"/>
        <v>1</v>
      </c>
    </row>
    <row r="35" spans="1:29" ht="16.5" thickBot="1">
      <c r="A35" s="149">
        <v>1056</v>
      </c>
      <c r="B35" s="97"/>
      <c r="C35" s="13">
        <v>0</v>
      </c>
      <c r="D35" s="13">
        <v>0</v>
      </c>
      <c r="E35" s="13">
        <f t="shared" si="18"/>
        <v>0</v>
      </c>
      <c r="F35" s="8"/>
      <c r="G35" s="149">
        <v>1060</v>
      </c>
      <c r="H35" s="93" t="s">
        <v>1103</v>
      </c>
      <c r="I35" s="13">
        <v>9.5</v>
      </c>
      <c r="J35" s="13">
        <v>8.9</v>
      </c>
      <c r="K35" s="13">
        <f t="shared" ref="K35" si="21">SUM(I35,J35)</f>
        <v>18.399999999999999</v>
      </c>
      <c r="L35" s="1"/>
      <c r="M35" s="152"/>
      <c r="N35" s="45" t="s">
        <v>1291</v>
      </c>
      <c r="O35" s="47">
        <f>E36</f>
        <v>65.149999999999991</v>
      </c>
      <c r="P35" s="40">
        <f t="shared" si="17"/>
        <v>7</v>
      </c>
      <c r="Q35" s="68"/>
      <c r="U35" s="16" t="s">
        <v>1193</v>
      </c>
      <c r="V35" s="149">
        <v>1043</v>
      </c>
      <c r="W35" s="93" t="s">
        <v>1188</v>
      </c>
      <c r="X35" s="14">
        <f>I23</f>
        <v>9.4</v>
      </c>
      <c r="Y35" s="283">
        <f t="shared" si="0"/>
        <v>4</v>
      </c>
      <c r="Z35" s="14">
        <f t="shared" si="20"/>
        <v>8.8000000000000007</v>
      </c>
      <c r="AA35" s="283">
        <f t="shared" si="1"/>
        <v>6</v>
      </c>
      <c r="AB35" s="69">
        <f>Table35155057131829[[#This Row],[Floor4]]+Table35155057131829[[#This Row],[Vault6]]</f>
        <v>18.200000000000003</v>
      </c>
      <c r="AC35" s="283">
        <f t="shared" si="2"/>
        <v>7</v>
      </c>
    </row>
    <row r="36" spans="1:29" ht="16.5" thickBot="1">
      <c r="B36" s="25" t="s">
        <v>10</v>
      </c>
      <c r="C36" s="19">
        <f>SUM(C30:C35)-SMALL(C30:C35,1)-SMALL(C30:C35,2)</f>
        <v>33.499999999999993</v>
      </c>
      <c r="D36" s="19">
        <f>SUM(D30:D35)-SMALL(D30:D35,1)-SMALL(D30:D35,2)</f>
        <v>31.65</v>
      </c>
      <c r="E36" s="20">
        <f>SUM(C36:D36)</f>
        <v>65.149999999999991</v>
      </c>
      <c r="F36" s="8"/>
      <c r="G36" s="149">
        <v>1061</v>
      </c>
      <c r="H36" s="93" t="s">
        <v>1102</v>
      </c>
      <c r="I36" s="13">
        <v>8.9</v>
      </c>
      <c r="J36" s="13">
        <v>8.9499999999999993</v>
      </c>
      <c r="K36" s="13">
        <f t="shared" ref="K36" si="22">SUM(I36,J36)</f>
        <v>17.850000000000001</v>
      </c>
      <c r="L36" s="1"/>
      <c r="M36" s="1"/>
      <c r="Q36" s="105"/>
      <c r="U36" s="16" t="s">
        <v>1204</v>
      </c>
      <c r="V36" s="149">
        <v>1045</v>
      </c>
      <c r="W36" s="93" t="s">
        <v>1197</v>
      </c>
      <c r="X36" s="14">
        <f>O19</f>
        <v>8.3000000000000007</v>
      </c>
      <c r="Y36" s="283">
        <f t="shared" si="0"/>
        <v>12.999999999999998</v>
      </c>
      <c r="Z36" s="14">
        <f>P19</f>
        <v>6.95</v>
      </c>
      <c r="AA36" s="283">
        <f t="shared" si="1"/>
        <v>28</v>
      </c>
      <c r="AB36" s="69">
        <f>Table35155057131829[[#This Row],[Floor4]]+Table35155057131829[[#This Row],[Vault6]]</f>
        <v>15.25</v>
      </c>
      <c r="AC36" s="283">
        <f t="shared" si="2"/>
        <v>30.999999999999996</v>
      </c>
    </row>
    <row r="37" spans="1:29">
      <c r="B37" s="94" t="s">
        <v>37</v>
      </c>
      <c r="D37" s="25"/>
      <c r="E37" s="26"/>
      <c r="L37" s="1"/>
      <c r="M37" s="1"/>
      <c r="Q37" s="115"/>
      <c r="U37" s="16" t="s">
        <v>1204</v>
      </c>
      <c r="V37" s="149">
        <v>1046</v>
      </c>
      <c r="W37" s="93" t="s">
        <v>97</v>
      </c>
      <c r="X37" s="14">
        <f t="shared" ref="X37:X40" si="23">O20</f>
        <v>9</v>
      </c>
      <c r="Y37" s="283">
        <f t="shared" si="0"/>
        <v>8</v>
      </c>
      <c r="Z37" s="14">
        <f t="shared" ref="Z37:Z40" si="24">P20</f>
        <v>8.35</v>
      </c>
      <c r="AA37" s="283">
        <f t="shared" si="1"/>
        <v>14</v>
      </c>
      <c r="AB37" s="69">
        <f>Table35155057131829[[#This Row],[Floor4]]+Table35155057131829[[#This Row],[Vault6]]</f>
        <v>17.350000000000001</v>
      </c>
      <c r="AC37" s="283">
        <f t="shared" si="2"/>
        <v>18</v>
      </c>
    </row>
    <row r="38" spans="1:29">
      <c r="A38" s="1"/>
      <c r="B38" s="1"/>
      <c r="C38" s="1"/>
      <c r="D38" s="1"/>
      <c r="E38" s="1"/>
      <c r="F38" s="1"/>
      <c r="L38" s="1"/>
      <c r="M38" s="1"/>
      <c r="Q38" s="1"/>
      <c r="U38" s="16" t="s">
        <v>1204</v>
      </c>
      <c r="V38" s="149">
        <v>1047</v>
      </c>
      <c r="W38" s="93" t="s">
        <v>489</v>
      </c>
      <c r="X38" s="14">
        <f t="shared" si="23"/>
        <v>6.7</v>
      </c>
      <c r="Y38" s="283">
        <f t="shared" si="0"/>
        <v>18.999999999999996</v>
      </c>
      <c r="Z38" s="14">
        <f t="shared" si="24"/>
        <v>7.95</v>
      </c>
      <c r="AA38" s="283">
        <f t="shared" si="1"/>
        <v>18.999999999999996</v>
      </c>
      <c r="AB38" s="69">
        <f>Table35155057131829[[#This Row],[Floor4]]+Table35155057131829[[#This Row],[Vault6]]</f>
        <v>14.65</v>
      </c>
      <c r="AC38" s="283">
        <f t="shared" si="2"/>
        <v>33</v>
      </c>
    </row>
    <row r="39" spans="1:29">
      <c r="A39" s="250"/>
      <c r="B39" s="250"/>
      <c r="C39" s="250"/>
      <c r="D39" s="250"/>
      <c r="E39" s="250"/>
      <c r="F39" s="106"/>
      <c r="U39" s="16" t="s">
        <v>1204</v>
      </c>
      <c r="V39" s="149">
        <v>1048</v>
      </c>
      <c r="W39" s="93" t="s">
        <v>1198</v>
      </c>
      <c r="X39" s="14">
        <f>O22</f>
        <v>7.7</v>
      </c>
      <c r="Y39" s="283">
        <f t="shared" si="0"/>
        <v>17</v>
      </c>
      <c r="Z39" s="14">
        <f>P22</f>
        <v>8</v>
      </c>
      <c r="AA39" s="283">
        <f t="shared" si="1"/>
        <v>18</v>
      </c>
      <c r="AB39" s="69">
        <f>Table35155057131829[[#This Row],[Floor4]]+Table35155057131829[[#This Row],[Vault6]]</f>
        <v>15.7</v>
      </c>
      <c r="AC39" s="283">
        <f t="shared" si="2"/>
        <v>28</v>
      </c>
    </row>
    <row r="40" spans="1:29">
      <c r="A40" s="111"/>
      <c r="B40" s="111"/>
      <c r="C40" s="111"/>
      <c r="D40" s="111"/>
      <c r="E40" s="111"/>
      <c r="F40" s="1"/>
      <c r="U40" s="16" t="s">
        <v>1204</v>
      </c>
      <c r="V40" s="149">
        <v>1049</v>
      </c>
      <c r="W40" s="93" t="s">
        <v>1199</v>
      </c>
      <c r="X40" s="14">
        <f t="shared" si="23"/>
        <v>8.8000000000000007</v>
      </c>
      <c r="Y40" s="283">
        <f t="shared" si="0"/>
        <v>9.9999999999999982</v>
      </c>
      <c r="Z40" s="14">
        <f t="shared" si="24"/>
        <v>8.25</v>
      </c>
      <c r="AA40" s="283">
        <f t="shared" si="1"/>
        <v>15</v>
      </c>
      <c r="AB40" s="69">
        <f>Table35155057131829[[#This Row],[Floor4]]+Table35155057131829[[#This Row],[Vault6]]</f>
        <v>17.05</v>
      </c>
      <c r="AC40" s="283">
        <f t="shared" si="2"/>
        <v>22</v>
      </c>
    </row>
    <row r="41" spans="1:29">
      <c r="A41" s="152"/>
      <c r="B41" s="110"/>
      <c r="C41" s="73"/>
      <c r="D41" s="73"/>
      <c r="E41" s="73"/>
      <c r="F41" s="1"/>
      <c r="U41" s="16" t="s">
        <v>1204</v>
      </c>
      <c r="V41" s="149">
        <v>1051</v>
      </c>
      <c r="W41" s="93" t="s">
        <v>1200</v>
      </c>
      <c r="X41" s="14">
        <f>C30</f>
        <v>8.1999999999999993</v>
      </c>
      <c r="Y41" s="283">
        <f t="shared" si="0"/>
        <v>14</v>
      </c>
      <c r="Z41" s="14">
        <f>D30</f>
        <v>7.55</v>
      </c>
      <c r="AA41" s="283">
        <f t="shared" si="1"/>
        <v>24</v>
      </c>
      <c r="AB41" s="69">
        <f>Table35155057131829[[#This Row],[Floor4]]+Table35155057131829[[#This Row],[Vault6]]</f>
        <v>15.75</v>
      </c>
      <c r="AC41" s="283">
        <f t="shared" si="2"/>
        <v>27</v>
      </c>
    </row>
    <row r="42" spans="1:29">
      <c r="A42" s="152"/>
      <c r="B42" s="110"/>
      <c r="C42" s="73"/>
      <c r="D42" s="73"/>
      <c r="E42" s="73"/>
      <c r="F42" s="1"/>
      <c r="U42" s="16" t="s">
        <v>1204</v>
      </c>
      <c r="V42" s="149">
        <v>1052</v>
      </c>
      <c r="W42" s="93" t="s">
        <v>1201</v>
      </c>
      <c r="X42" s="14">
        <f t="shared" ref="X42:X45" si="25">C31</f>
        <v>8</v>
      </c>
      <c r="Y42" s="283">
        <f t="shared" si="0"/>
        <v>15</v>
      </c>
      <c r="Z42" s="14">
        <f t="shared" ref="Z42:Z45" si="26">D31</f>
        <v>7.4</v>
      </c>
      <c r="AA42" s="283">
        <f t="shared" si="1"/>
        <v>26</v>
      </c>
      <c r="AB42" s="69">
        <f>Table35155057131829[[#This Row],[Floor4]]+Table35155057131829[[#This Row],[Vault6]]</f>
        <v>15.4</v>
      </c>
      <c r="AC42" s="283">
        <f t="shared" si="2"/>
        <v>29</v>
      </c>
    </row>
    <row r="43" spans="1:29">
      <c r="A43" s="250"/>
      <c r="B43" s="250"/>
      <c r="C43" s="250"/>
      <c r="D43" s="250"/>
      <c r="E43" s="250"/>
      <c r="F43" s="1"/>
      <c r="U43" s="16" t="s">
        <v>1204</v>
      </c>
      <c r="V43" s="149">
        <v>1053</v>
      </c>
      <c r="W43" s="93" t="s">
        <v>1202</v>
      </c>
      <c r="X43" s="14">
        <f>C32</f>
        <v>9.1</v>
      </c>
      <c r="Y43" s="283">
        <f t="shared" si="0"/>
        <v>7.0000000000000018</v>
      </c>
      <c r="Z43" s="14">
        <f t="shared" si="26"/>
        <v>8.75</v>
      </c>
      <c r="AA43" s="283">
        <f t="shared" si="1"/>
        <v>7</v>
      </c>
      <c r="AB43" s="69">
        <f>Table35155057131829[[#This Row],[Floor4]]+Table35155057131829[[#This Row],[Vault6]]</f>
        <v>17.850000000000001</v>
      </c>
      <c r="AC43" s="283">
        <f t="shared" si="2"/>
        <v>12</v>
      </c>
    </row>
    <row r="44" spans="1:29">
      <c r="F44" s="1"/>
      <c r="G44" s="111"/>
      <c r="H44" s="111"/>
      <c r="I44" s="111"/>
      <c r="J44" s="111"/>
      <c r="K44" s="111"/>
      <c r="U44" s="16" t="s">
        <v>1204</v>
      </c>
      <c r="V44" s="149">
        <v>1054</v>
      </c>
      <c r="W44" s="93" t="s">
        <v>488</v>
      </c>
      <c r="X44" s="14">
        <f t="shared" si="25"/>
        <v>7.4</v>
      </c>
      <c r="Y44" s="283">
        <f t="shared" si="0"/>
        <v>18</v>
      </c>
      <c r="Z44" s="14">
        <f>D33</f>
        <v>7.5</v>
      </c>
      <c r="AA44" s="283">
        <f t="shared" si="1"/>
        <v>25</v>
      </c>
      <c r="AB44" s="69">
        <f>Table35155057131829[[#This Row],[Floor4]]+Table35155057131829[[#This Row],[Vault6]]</f>
        <v>14.9</v>
      </c>
      <c r="AC44" s="283">
        <f t="shared" si="2"/>
        <v>31.999999999999996</v>
      </c>
    </row>
    <row r="45" spans="1:29">
      <c r="F45" s="1"/>
      <c r="G45" s="152"/>
      <c r="H45" s="110"/>
      <c r="I45" s="73"/>
      <c r="J45" s="73"/>
      <c r="K45" s="73"/>
      <c r="U45" s="120" t="s">
        <v>1204</v>
      </c>
      <c r="V45" s="149">
        <v>1055</v>
      </c>
      <c r="W45" s="180" t="s">
        <v>1203</v>
      </c>
      <c r="X45" s="14">
        <f t="shared" si="25"/>
        <v>8.1999999999999993</v>
      </c>
      <c r="Y45" s="283">
        <f t="shared" si="0"/>
        <v>14</v>
      </c>
      <c r="Z45" s="14">
        <f t="shared" si="26"/>
        <v>7.85</v>
      </c>
      <c r="AA45" s="283">
        <f t="shared" si="1"/>
        <v>21</v>
      </c>
      <c r="AB45" s="69">
        <f>Table35155057131829[[#This Row],[Floor4]]+Table35155057131829[[#This Row],[Vault6]]</f>
        <v>16.049999999999997</v>
      </c>
      <c r="AC45" s="283">
        <f t="shared" si="2"/>
        <v>26</v>
      </c>
    </row>
    <row r="46" spans="1:29">
      <c r="F46" s="106"/>
      <c r="G46" s="152"/>
      <c r="H46" s="110"/>
      <c r="I46" s="73"/>
      <c r="J46" s="73"/>
      <c r="K46" s="73"/>
      <c r="U46" s="307" t="s">
        <v>1227</v>
      </c>
      <c r="V46" s="318">
        <v>1068</v>
      </c>
      <c r="W46" s="308" t="s">
        <v>496</v>
      </c>
      <c r="X46" s="295">
        <f>'ADV 11&amp;U MX'!D11</f>
        <v>9.4</v>
      </c>
      <c r="Y46" s="283">
        <f t="shared" si="0"/>
        <v>4</v>
      </c>
      <c r="Z46" s="295">
        <f>'ADV 11&amp;U MX'!E11</f>
        <v>8.5</v>
      </c>
      <c r="AA46" s="283">
        <f t="shared" si="1"/>
        <v>11</v>
      </c>
      <c r="AB46" s="299">
        <f>Table35155057131829[[#This Row],[Floor4]]+Table35155057131829[[#This Row],[Vault6]]</f>
        <v>17.899999999999999</v>
      </c>
      <c r="AC46" s="283">
        <f t="shared" si="2"/>
        <v>11</v>
      </c>
    </row>
    <row r="47" spans="1:29">
      <c r="F47" s="106"/>
      <c r="G47" s="152"/>
      <c r="H47" s="110"/>
      <c r="I47" s="73"/>
      <c r="J47" s="73"/>
      <c r="K47" s="73"/>
      <c r="U47" s="307" t="s">
        <v>1227</v>
      </c>
      <c r="V47" s="318">
        <v>1069</v>
      </c>
      <c r="W47" s="308" t="s">
        <v>502</v>
      </c>
      <c r="X47" s="295">
        <f>'ADV 11&amp;U MX'!D12</f>
        <v>8.9</v>
      </c>
      <c r="Y47" s="283">
        <f t="shared" si="0"/>
        <v>9.0000000000000018</v>
      </c>
      <c r="Z47" s="295">
        <f>'ADV 11&amp;U MX'!E12</f>
        <v>8.85</v>
      </c>
      <c r="AA47" s="283">
        <f t="shared" si="1"/>
        <v>5</v>
      </c>
      <c r="AB47" s="299">
        <f>Table35155057131829[[#This Row],[Floor4]]+Table35155057131829[[#This Row],[Vault6]]</f>
        <v>17.75</v>
      </c>
      <c r="AC47" s="283">
        <f t="shared" si="2"/>
        <v>13</v>
      </c>
    </row>
    <row r="48" spans="1:29">
      <c r="A48" s="152"/>
      <c r="B48" s="110"/>
      <c r="C48" s="73"/>
      <c r="D48" s="73"/>
      <c r="E48" s="73"/>
      <c r="F48" s="1"/>
      <c r="G48" s="152"/>
      <c r="H48" s="110"/>
      <c r="I48" s="73"/>
      <c r="J48" s="73"/>
      <c r="K48" s="73"/>
      <c r="U48" s="307" t="s">
        <v>1227</v>
      </c>
      <c r="V48" s="319">
        <v>1070</v>
      </c>
      <c r="W48" s="311" t="s">
        <v>499</v>
      </c>
      <c r="X48" s="295">
        <f>'ADV 11&amp;U MX'!D13</f>
        <v>9.3000000000000007</v>
      </c>
      <c r="Y48" s="283">
        <f t="shared" si="0"/>
        <v>5</v>
      </c>
      <c r="Z48" s="295">
        <f>'ADV 11&amp;U MX'!E13</f>
        <v>8.6999999999999993</v>
      </c>
      <c r="AA48" s="283">
        <f t="shared" si="1"/>
        <v>8</v>
      </c>
      <c r="AB48" s="299">
        <f>Table35155057131829[[#This Row],[Floor4]]+Table35155057131829[[#This Row],[Vault6]]</f>
        <v>18</v>
      </c>
      <c r="AC48" s="283">
        <f t="shared" si="2"/>
        <v>9</v>
      </c>
    </row>
    <row r="49" spans="1:29">
      <c r="A49" s="152"/>
      <c r="B49" s="110"/>
      <c r="C49" s="73"/>
      <c r="D49" s="73"/>
      <c r="E49" s="73"/>
      <c r="F49" s="1"/>
      <c r="G49" s="152"/>
      <c r="H49" s="110"/>
      <c r="I49" s="73"/>
      <c r="J49" s="73"/>
      <c r="K49" s="73"/>
      <c r="L49" s="1"/>
      <c r="M49" s="1"/>
      <c r="Q49" s="1"/>
      <c r="U49" s="307" t="s">
        <v>1227</v>
      </c>
      <c r="V49" s="318">
        <v>1074</v>
      </c>
      <c r="W49" s="308" t="s">
        <v>522</v>
      </c>
      <c r="X49" s="295">
        <f>'ADV 11&amp;U MX'!O11:O11</f>
        <v>9.5</v>
      </c>
      <c r="Y49" s="283">
        <f t="shared" si="0"/>
        <v>3</v>
      </c>
      <c r="Z49" s="295">
        <f>'ADV 11&amp;U MX'!P11</f>
        <v>8.75</v>
      </c>
      <c r="AA49" s="283">
        <f t="shared" si="1"/>
        <v>7</v>
      </c>
      <c r="AB49" s="299">
        <f>Table35155057131829[[#This Row],[Floor4]]+Table35155057131829[[#This Row],[Vault6]]</f>
        <v>18.25</v>
      </c>
      <c r="AC49" s="283">
        <f t="shared" si="2"/>
        <v>6</v>
      </c>
    </row>
    <row r="50" spans="1:29">
      <c r="A50" s="152"/>
      <c r="B50" s="110"/>
      <c r="C50" s="73"/>
      <c r="D50" s="73"/>
      <c r="E50" s="73"/>
      <c r="F50" s="106"/>
      <c r="G50" s="152"/>
      <c r="H50" s="110"/>
      <c r="I50" s="73"/>
      <c r="J50" s="73"/>
      <c r="K50" s="73"/>
      <c r="L50" s="106"/>
      <c r="M50" s="86"/>
      <c r="Q50" s="86"/>
      <c r="U50" s="307" t="s">
        <v>1227</v>
      </c>
      <c r="V50" s="318">
        <v>1075</v>
      </c>
      <c r="W50" s="308" t="s">
        <v>521</v>
      </c>
      <c r="X50" s="295">
        <f>'ADV 11&amp;U MX'!O12:O12</f>
        <v>9.5</v>
      </c>
      <c r="Y50" s="283">
        <f t="shared" si="0"/>
        <v>3</v>
      </c>
      <c r="Z50" s="295">
        <f>'ADV 11&amp;U MX'!P12</f>
        <v>8.8000000000000007</v>
      </c>
      <c r="AA50" s="283">
        <f t="shared" si="1"/>
        <v>6</v>
      </c>
      <c r="AB50" s="299">
        <f>Table35155057131829[[#This Row],[Floor4]]+Table35155057131829[[#This Row],[Vault6]]</f>
        <v>18.3</v>
      </c>
      <c r="AC50" s="283">
        <f t="shared" si="2"/>
        <v>5</v>
      </c>
    </row>
    <row r="51" spans="1:29">
      <c r="A51" s="1"/>
      <c r="B51" s="104"/>
      <c r="C51" s="64"/>
      <c r="D51" s="64"/>
      <c r="E51" s="105"/>
      <c r="F51" s="1"/>
      <c r="G51" s="1"/>
      <c r="H51" s="104"/>
      <c r="I51" s="64"/>
      <c r="J51" s="64"/>
      <c r="K51" s="105"/>
      <c r="L51" s="1"/>
      <c r="M51" s="111"/>
      <c r="Q51" s="111"/>
      <c r="U51" s="307" t="s">
        <v>1227</v>
      </c>
      <c r="V51" s="319">
        <v>1076</v>
      </c>
      <c r="W51" s="311" t="s">
        <v>500</v>
      </c>
      <c r="X51" s="295">
        <f>'ADV 11&amp;U MX'!O13:O13</f>
        <v>9.3000000000000007</v>
      </c>
      <c r="Y51" s="283">
        <f t="shared" si="0"/>
        <v>5</v>
      </c>
      <c r="Z51" s="295">
        <f>'ADV 11&amp;U MX'!P13</f>
        <v>8.4</v>
      </c>
      <c r="AA51" s="283">
        <f t="shared" si="1"/>
        <v>13</v>
      </c>
      <c r="AB51" s="299">
        <f>Table35155057131829[[#This Row],[Floor4]]+Table35155057131829[[#This Row],[Vault6]]</f>
        <v>17.700000000000003</v>
      </c>
      <c r="AC51" s="283">
        <f t="shared" si="2"/>
        <v>14</v>
      </c>
    </row>
    <row r="52" spans="1:29">
      <c r="A52" s="1"/>
      <c r="B52" s="121"/>
      <c r="C52" s="1"/>
      <c r="D52" s="104"/>
      <c r="E52" s="115"/>
      <c r="F52" s="1"/>
      <c r="G52" s="1"/>
      <c r="H52" s="121"/>
      <c r="I52" s="1"/>
      <c r="J52" s="104"/>
      <c r="K52" s="115"/>
      <c r="L52" s="1"/>
      <c r="M52" s="102"/>
      <c r="Q52" s="73"/>
    </row>
    <row r="53" spans="1:29">
      <c r="A53" s="1"/>
      <c r="B53" s="1"/>
      <c r="C53" s="1"/>
      <c r="D53" s="1"/>
      <c r="E53" s="1"/>
      <c r="F53" s="1"/>
      <c r="G53" s="102"/>
      <c r="H53" s="103"/>
      <c r="I53" s="73"/>
      <c r="J53" s="73"/>
      <c r="K53" s="73"/>
      <c r="L53" s="1"/>
      <c r="M53" s="102"/>
      <c r="Q53" s="73"/>
    </row>
    <row r="54" spans="1:29">
      <c r="B54" s="24"/>
      <c r="D54" s="25"/>
      <c r="E54" s="26"/>
      <c r="H54" s="24"/>
      <c r="J54" s="25"/>
      <c r="K54" s="26"/>
      <c r="Q54" s="26"/>
    </row>
    <row r="55" spans="1:29">
      <c r="A55" s="81"/>
      <c r="B55" s="81"/>
      <c r="C55" s="81"/>
      <c r="D55" s="81"/>
      <c r="E55" s="81"/>
      <c r="F55" s="81"/>
      <c r="G55" s="81"/>
      <c r="I55" s="81"/>
      <c r="J55" s="81"/>
      <c r="K55" s="81"/>
      <c r="L55" s="81"/>
    </row>
    <row r="56" spans="1:29">
      <c r="F56" s="81"/>
      <c r="G56" s="86"/>
      <c r="H56" s="86"/>
      <c r="I56" s="86"/>
      <c r="J56" s="86"/>
      <c r="K56" s="86"/>
      <c r="L56" s="86"/>
    </row>
    <row r="57" spans="1:29">
      <c r="A57" s="163"/>
      <c r="F57" s="81"/>
      <c r="G57" s="77"/>
      <c r="H57" s="77"/>
      <c r="I57" s="77"/>
      <c r="J57" s="77"/>
      <c r="K57" s="77"/>
      <c r="L57" s="81"/>
    </row>
    <row r="58" spans="1:29">
      <c r="F58" s="81"/>
      <c r="G58" s="80"/>
      <c r="H58" s="87"/>
      <c r="I58" s="68"/>
      <c r="J58" s="68"/>
      <c r="K58" s="68"/>
      <c r="L58" s="81"/>
    </row>
    <row r="59" spans="1:29">
      <c r="A59" s="78"/>
      <c r="B59" s="87"/>
      <c r="C59" s="79"/>
      <c r="D59" s="79"/>
      <c r="E59" s="79"/>
      <c r="F59" s="81"/>
      <c r="G59" s="80"/>
      <c r="H59" s="87"/>
      <c r="I59" s="68"/>
      <c r="J59" s="68"/>
      <c r="K59" s="68"/>
      <c r="L59" s="81"/>
    </row>
    <row r="60" spans="1:29">
      <c r="A60" s="78"/>
      <c r="B60" s="87"/>
      <c r="C60" s="79"/>
      <c r="D60" s="79"/>
      <c r="E60" s="79"/>
      <c r="F60" s="81"/>
      <c r="G60" s="81"/>
      <c r="H60" s="81"/>
      <c r="I60" s="81"/>
      <c r="J60" s="81"/>
      <c r="K60" s="81"/>
      <c r="L60" s="81"/>
    </row>
    <row r="61" spans="1:29">
      <c r="A61" s="78"/>
      <c r="B61" s="87"/>
      <c r="C61" s="79"/>
      <c r="D61" s="79"/>
      <c r="E61" s="79"/>
      <c r="F61" s="81"/>
      <c r="G61" s="86"/>
      <c r="H61" s="86"/>
      <c r="I61" s="86"/>
      <c r="J61" s="86"/>
      <c r="K61" s="86"/>
      <c r="L61" s="86"/>
    </row>
    <row r="62" spans="1:29">
      <c r="A62" s="78"/>
      <c r="B62" s="87"/>
      <c r="C62" s="79"/>
      <c r="D62" s="79"/>
      <c r="E62" s="79"/>
      <c r="F62" s="81"/>
      <c r="G62" s="77"/>
      <c r="H62" s="77"/>
      <c r="I62" s="77"/>
      <c r="J62" s="77"/>
      <c r="K62" s="77"/>
      <c r="L62" s="81"/>
    </row>
    <row r="63" spans="1:29">
      <c r="A63" s="78"/>
      <c r="B63" s="87"/>
      <c r="C63" s="79"/>
      <c r="D63" s="79"/>
      <c r="E63" s="79"/>
      <c r="F63" s="81"/>
      <c r="G63" s="80"/>
      <c r="H63" s="87"/>
      <c r="I63" s="68"/>
      <c r="J63" s="68"/>
      <c r="K63" s="68"/>
      <c r="L63" s="81"/>
    </row>
    <row r="64" spans="1:29">
      <c r="A64" s="88"/>
      <c r="B64" s="82"/>
      <c r="C64" s="79"/>
      <c r="D64" s="79"/>
      <c r="E64" s="83"/>
      <c r="F64" s="81"/>
      <c r="G64" s="80"/>
      <c r="H64" s="87"/>
      <c r="I64" s="68"/>
      <c r="J64" s="68"/>
      <c r="K64" s="68"/>
      <c r="L64" s="81"/>
    </row>
    <row r="65" spans="1:12">
      <c r="A65" s="81"/>
      <c r="B65" s="89"/>
      <c r="C65" s="81"/>
      <c r="D65" s="84"/>
      <c r="E65" s="85"/>
      <c r="F65" s="81"/>
      <c r="G65" s="81"/>
      <c r="H65" s="81"/>
      <c r="I65" s="81"/>
      <c r="J65" s="81"/>
      <c r="K65" s="81"/>
      <c r="L65" s="81"/>
    </row>
    <row r="66" spans="1:12">
      <c r="A66" s="75"/>
      <c r="B66" s="75"/>
      <c r="C66" s="75"/>
      <c r="D66" s="75"/>
      <c r="E66" s="75"/>
      <c r="F66" s="81"/>
      <c r="G66" s="86"/>
      <c r="H66" s="86"/>
      <c r="I66" s="86"/>
      <c r="J66" s="86"/>
      <c r="K66" s="86"/>
      <c r="L66" s="86"/>
    </row>
    <row r="67" spans="1:12">
      <c r="A67" s="76"/>
      <c r="B67" s="76"/>
      <c r="C67" s="76"/>
      <c r="D67" s="76"/>
      <c r="E67" s="76"/>
      <c r="F67" s="81"/>
      <c r="G67" s="77"/>
      <c r="H67" s="77"/>
      <c r="I67" s="77"/>
      <c r="J67" s="77"/>
      <c r="K67" s="77"/>
      <c r="L67" s="81"/>
    </row>
    <row r="68" spans="1:12">
      <c r="A68" s="78"/>
      <c r="B68" s="87"/>
      <c r="C68" s="79"/>
      <c r="D68" s="79"/>
      <c r="E68" s="79"/>
      <c r="F68" s="81"/>
      <c r="G68" s="80"/>
      <c r="H68" s="87"/>
      <c r="I68" s="68"/>
      <c r="J68" s="68"/>
      <c r="K68" s="68"/>
      <c r="L68" s="81"/>
    </row>
    <row r="69" spans="1:12">
      <c r="A69" s="78"/>
      <c r="B69" s="87"/>
      <c r="C69" s="79"/>
      <c r="D69" s="79"/>
      <c r="E69" s="79"/>
      <c r="F69" s="81"/>
      <c r="G69" s="81"/>
      <c r="H69" s="81"/>
      <c r="I69" s="81"/>
      <c r="J69" s="81"/>
      <c r="K69" s="81"/>
      <c r="L69" s="81"/>
    </row>
    <row r="70" spans="1:12">
      <c r="A70" s="78"/>
      <c r="B70" s="87"/>
      <c r="C70" s="79"/>
      <c r="D70" s="79"/>
      <c r="E70" s="79"/>
      <c r="F70" s="81"/>
      <c r="G70" s="81"/>
      <c r="H70" s="81"/>
      <c r="I70" s="81"/>
      <c r="J70" s="81"/>
      <c r="K70" s="81"/>
      <c r="L70" s="81"/>
    </row>
    <row r="71" spans="1:12">
      <c r="A71" s="78"/>
      <c r="B71" s="87"/>
      <c r="C71" s="79"/>
      <c r="D71" s="79"/>
      <c r="E71" s="79"/>
      <c r="F71" s="81"/>
      <c r="G71" s="81"/>
      <c r="H71" s="81"/>
      <c r="I71" s="81"/>
      <c r="J71" s="81"/>
      <c r="K71" s="81"/>
      <c r="L71" s="81"/>
    </row>
    <row r="72" spans="1:12">
      <c r="A72" s="78"/>
      <c r="B72" s="87"/>
      <c r="C72" s="79"/>
      <c r="D72" s="79"/>
      <c r="E72" s="79"/>
      <c r="F72" s="81"/>
      <c r="G72" s="81"/>
      <c r="H72" s="81"/>
      <c r="I72" s="81"/>
      <c r="J72" s="81"/>
      <c r="K72" s="81"/>
      <c r="L72" s="81"/>
    </row>
    <row r="73" spans="1:12">
      <c r="A73" s="78"/>
      <c r="B73" s="87"/>
      <c r="C73" s="79"/>
      <c r="D73" s="79"/>
      <c r="E73" s="79"/>
      <c r="F73" s="81"/>
      <c r="G73" s="81"/>
      <c r="H73" s="81"/>
      <c r="I73" s="81"/>
      <c r="J73" s="81"/>
      <c r="K73" s="81"/>
      <c r="L73" s="81"/>
    </row>
    <row r="74" spans="1:12">
      <c r="A74" s="88"/>
      <c r="B74" s="82"/>
      <c r="C74" s="79"/>
      <c r="D74" s="79"/>
      <c r="E74" s="83"/>
      <c r="F74" s="81"/>
      <c r="G74" s="81"/>
      <c r="H74" s="81"/>
      <c r="I74" s="81"/>
      <c r="J74" s="81"/>
      <c r="K74" s="81"/>
      <c r="L74" s="81"/>
    </row>
    <row r="75" spans="1:1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1:1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</sheetData>
  <mergeCells count="3">
    <mergeCell ref="A1:AC1"/>
    <mergeCell ref="A2:AC2"/>
    <mergeCell ref="G4:I4"/>
  </mergeCells>
  <phoneticPr fontId="21" type="noConversion"/>
  <conditionalFormatting sqref="P29:P35 Y7:Y51 AA7:AA51 AC7:AC51">
    <cfRule type="cellIs" dxfId="465" priority="10" operator="equal">
      <formula>3</formula>
    </cfRule>
    <cfRule type="cellIs" dxfId="464" priority="11" operator="equal">
      <formula>2</formula>
    </cfRule>
    <cfRule type="cellIs" dxfId="463" priority="12" operator="equal">
      <formula>1</formula>
    </cfRule>
  </conditionalFormatting>
  <pageMargins left="0.75" right="0.75" top="1" bottom="1" header="0.5" footer="0.5"/>
  <pageSetup paperSize="9" scale="51" orientation="landscape" horizontalDpi="4294967292" verticalDpi="4294967292"/>
  <colBreaks count="1" manualBreakCount="1">
    <brk id="29" max="1048575" man="1"/>
  </colBreaks>
  <ignoredErrors>
    <ignoredError sqref="Z24:Z51 Z7:Z23" formula="1"/>
  </ignoredErrors>
  <tableParts count="2">
    <tablePart r:id="rId1"/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C15"/>
  <sheetViews>
    <sheetView zoomScale="90" zoomScaleNormal="90" zoomScalePageLayoutView="90" workbookViewId="0">
      <selection activeCell="A4" sqref="A4"/>
    </sheetView>
  </sheetViews>
  <sheetFormatPr defaultColWidth="8.875" defaultRowHeight="15.75"/>
  <cols>
    <col min="1" max="1" width="5.5" bestFit="1" customWidth="1"/>
    <col min="2" max="2" width="5.5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5.62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</cols>
  <sheetData>
    <row r="1" spans="1:81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</row>
    <row r="2" spans="1:81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0"/>
      <c r="BI2" s="90"/>
    </row>
    <row r="3" spans="1:81" ht="23.25"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21">
      <c r="A4" s="8"/>
      <c r="F4" s="1"/>
      <c r="G4" s="1"/>
      <c r="H4" s="1"/>
      <c r="I4" s="1"/>
      <c r="J4" s="1"/>
      <c r="K4" s="1"/>
      <c r="L4" s="467" t="s">
        <v>156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>
      <c r="V5" s="1"/>
    </row>
    <row r="6" spans="1:81">
      <c r="A6" s="470" t="s">
        <v>1223</v>
      </c>
      <c r="B6" s="471"/>
      <c r="C6" s="471"/>
      <c r="D6" s="471"/>
      <c r="E6" s="471"/>
      <c r="F6" s="472"/>
      <c r="G6" s="8"/>
      <c r="H6" s="8"/>
      <c r="I6" s="8"/>
      <c r="J6" s="8"/>
      <c r="K6" s="8"/>
      <c r="L6" s="470" t="s">
        <v>193</v>
      </c>
      <c r="M6" s="471"/>
      <c r="N6" s="471"/>
      <c r="O6" s="471"/>
      <c r="P6" s="471"/>
      <c r="Q6" s="472"/>
      <c r="R6" s="106"/>
      <c r="S6" s="106"/>
      <c r="T6" s="106"/>
      <c r="U6" s="106"/>
      <c r="V6" s="106"/>
      <c r="W6" s="113"/>
      <c r="X6" s="113"/>
      <c r="Y6" s="39" t="s">
        <v>12</v>
      </c>
      <c r="Z6" s="43" t="s">
        <v>5</v>
      </c>
      <c r="AA6" s="44" t="s">
        <v>11</v>
      </c>
      <c r="AB6" s="113"/>
      <c r="AC6" s="8"/>
      <c r="AD6" s="8"/>
      <c r="AE6" s="8"/>
      <c r="AF6" s="8"/>
      <c r="AG6" s="8"/>
    </row>
    <row r="7" spans="1:8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11"/>
      <c r="I7" s="11" t="s">
        <v>7</v>
      </c>
      <c r="J7" s="11"/>
      <c r="L7" s="9" t="s">
        <v>0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R7" s="116" t="s">
        <v>6</v>
      </c>
      <c r="S7" s="117"/>
      <c r="T7" s="117" t="s">
        <v>7</v>
      </c>
      <c r="U7" s="117"/>
      <c r="V7" s="1"/>
      <c r="W7" s="111"/>
      <c r="X7" s="111"/>
      <c r="Y7" s="45" t="s">
        <v>216</v>
      </c>
      <c r="Z7" s="47">
        <f>F14</f>
        <v>72.400000000000006</v>
      </c>
      <c r="AA7" s="40">
        <f>SUMPRODUCT((Z$7:Z$8&gt;Z7)/COUNTIF(Z$7:Z$8,Z$7:Z$8&amp;""))+1</f>
        <v>2</v>
      </c>
      <c r="AB7" s="111"/>
      <c r="AC7" s="112" t="s">
        <v>6</v>
      </c>
      <c r="AD7" s="11"/>
      <c r="AE7" s="11" t="s">
        <v>7</v>
      </c>
      <c r="AF7" s="11"/>
    </row>
    <row r="8" spans="1:81">
      <c r="A8" s="12" t="s">
        <v>8</v>
      </c>
      <c r="B8" s="149">
        <v>1065</v>
      </c>
      <c r="C8" s="93" t="s">
        <v>190</v>
      </c>
      <c r="D8" s="13">
        <v>8.9</v>
      </c>
      <c r="E8" s="13">
        <v>8.85</v>
      </c>
      <c r="F8" s="13">
        <f>SUM(D8:E8)</f>
        <v>17.75</v>
      </c>
      <c r="G8" s="11">
        <f t="shared" ref="G8:G13" si="0">IF(A8="M",D8)</f>
        <v>8.9</v>
      </c>
      <c r="H8" s="11" t="b">
        <f t="shared" ref="H8:H13" si="1">IF(A8="F",D8)</f>
        <v>0</v>
      </c>
      <c r="I8" s="11">
        <f t="shared" ref="I8:I13" si="2">IF(A8="M",E8)</f>
        <v>8.85</v>
      </c>
      <c r="J8" s="11" t="b">
        <f t="shared" ref="J8:J13" si="3">IF(A8="F",E8)</f>
        <v>0</v>
      </c>
      <c r="L8" s="12" t="s">
        <v>8</v>
      </c>
      <c r="M8" s="149">
        <v>1071</v>
      </c>
      <c r="N8" s="93" t="s">
        <v>202</v>
      </c>
      <c r="O8" s="13">
        <v>8.6999999999999993</v>
      </c>
      <c r="P8" s="13">
        <v>9.5</v>
      </c>
      <c r="Q8" s="13">
        <f>SUM(O8:P8)</f>
        <v>18.2</v>
      </c>
      <c r="R8" s="117" t="e">
        <f>IF(#REF!="M",#REF!)</f>
        <v>#REF!</v>
      </c>
      <c r="S8" s="117" t="e">
        <f>IF(#REF!="F",#REF!)</f>
        <v>#REF!</v>
      </c>
      <c r="T8" s="117" t="e">
        <f>IF(#REF!="M",#REF!)</f>
        <v>#REF!</v>
      </c>
      <c r="U8" s="117" t="e">
        <f>IF(#REF!="F",#REF!)</f>
        <v>#REF!</v>
      </c>
      <c r="V8" s="1"/>
      <c r="W8" s="102"/>
      <c r="X8" s="102"/>
      <c r="Y8" s="253" t="s">
        <v>217</v>
      </c>
      <c r="Z8" s="254">
        <f>Q14</f>
        <v>72.45</v>
      </c>
      <c r="AA8" s="40">
        <f>SUMPRODUCT((Z$7:Z$8&gt;Z8)/COUNTIF(Z$7:Z$8,Z$7:Z$8&amp;""))+1</f>
        <v>1</v>
      </c>
      <c r="AB8" s="73"/>
      <c r="AC8" s="11" t="b">
        <f>IF(W8="M",#REF!)</f>
        <v>0</v>
      </c>
      <c r="AD8" s="11" t="b">
        <f>IF(W8="F",#REF!)</f>
        <v>0</v>
      </c>
      <c r="AE8" s="11" t="b">
        <f>IF(W8="M",#REF!)</f>
        <v>0</v>
      </c>
      <c r="AF8" s="11" t="b">
        <f>IF(W8="F",#REF!)</f>
        <v>0</v>
      </c>
    </row>
    <row r="9" spans="1:81">
      <c r="A9" s="12" t="s">
        <v>8</v>
      </c>
      <c r="B9" s="149">
        <v>1066</v>
      </c>
      <c r="C9" t="s">
        <v>189</v>
      </c>
      <c r="D9" s="13">
        <v>9.4</v>
      </c>
      <c r="E9" s="13">
        <v>8.6999999999999993</v>
      </c>
      <c r="F9" s="13">
        <f>SUM(D9:E9)</f>
        <v>18.100000000000001</v>
      </c>
      <c r="G9" s="11">
        <f t="shared" si="0"/>
        <v>9.4</v>
      </c>
      <c r="H9" s="11" t="b">
        <f t="shared" si="1"/>
        <v>0</v>
      </c>
      <c r="I9" s="11">
        <f t="shared" si="2"/>
        <v>8.6999999999999993</v>
      </c>
      <c r="J9" s="11" t="b">
        <f t="shared" si="3"/>
        <v>0</v>
      </c>
      <c r="L9" s="12" t="s">
        <v>8</v>
      </c>
      <c r="M9" s="149">
        <v>1072</v>
      </c>
      <c r="N9" t="s">
        <v>195</v>
      </c>
      <c r="O9" s="13">
        <v>8.4</v>
      </c>
      <c r="P9" s="13">
        <v>8.4499999999999993</v>
      </c>
      <c r="Q9" s="13">
        <f>SUM(O9:P9)</f>
        <v>16.850000000000001</v>
      </c>
      <c r="R9" s="117" t="e">
        <f>IF(#REF!="M",#REF!)</f>
        <v>#REF!</v>
      </c>
      <c r="S9" s="117" t="e">
        <f>IF(#REF!="F",#REF!)</f>
        <v>#REF!</v>
      </c>
      <c r="T9" s="117" t="e">
        <f>IF(#REF!="M",#REF!)</f>
        <v>#REF!</v>
      </c>
      <c r="U9" s="117" t="e">
        <f>IF(#REF!="F",#REF!)</f>
        <v>#REF!</v>
      </c>
      <c r="V9" s="1"/>
      <c r="W9" s="102"/>
      <c r="X9" s="102"/>
      <c r="Y9" s="103"/>
      <c r="Z9" s="73"/>
      <c r="AA9" s="73"/>
      <c r="AB9" s="73"/>
      <c r="AC9" s="11" t="b">
        <f t="shared" ref="AC9:AC13" si="4">IF(W9="M",Z9)</f>
        <v>0</v>
      </c>
      <c r="AD9" s="11" t="b">
        <f t="shared" ref="AD9:AD13" si="5">IF(W9="F",Z9)</f>
        <v>0</v>
      </c>
      <c r="AE9" s="11" t="b">
        <f t="shared" ref="AE9:AE13" si="6">IF(W9="M",AA9)</f>
        <v>0</v>
      </c>
      <c r="AF9" s="11" t="b">
        <f t="shared" ref="AF9:AF13" si="7">IF(W9="F",AA9)</f>
        <v>0</v>
      </c>
    </row>
    <row r="10" spans="1:81">
      <c r="A10" s="12" t="s">
        <v>8</v>
      </c>
      <c r="B10" s="149">
        <v>1067</v>
      </c>
      <c r="C10" s="93" t="s">
        <v>192</v>
      </c>
      <c r="D10" s="13">
        <v>9.1999999999999993</v>
      </c>
      <c r="E10" s="13">
        <v>8.5500000000000007</v>
      </c>
      <c r="F10" s="13">
        <f t="shared" ref="F10:F13" si="8">SUM(D10:E10)</f>
        <v>17.75</v>
      </c>
      <c r="G10" s="11">
        <f t="shared" si="0"/>
        <v>9.1999999999999993</v>
      </c>
      <c r="H10" s="11" t="b">
        <f t="shared" si="1"/>
        <v>0</v>
      </c>
      <c r="I10" s="11">
        <f t="shared" si="2"/>
        <v>8.5500000000000007</v>
      </c>
      <c r="J10" s="11" t="b">
        <f t="shared" si="3"/>
        <v>0</v>
      </c>
      <c r="L10" s="12" t="s">
        <v>8</v>
      </c>
      <c r="M10" s="149">
        <v>1073</v>
      </c>
      <c r="N10" s="93" t="s">
        <v>191</v>
      </c>
      <c r="O10" s="13">
        <v>8.9</v>
      </c>
      <c r="P10" s="13">
        <v>8.8000000000000007</v>
      </c>
      <c r="Q10" s="13">
        <f t="shared" ref="Q10:Q13" si="9">SUM(O10:P10)</f>
        <v>17.700000000000003</v>
      </c>
      <c r="R10" s="117" t="e">
        <f>IF(#REF!="M",#REF!)</f>
        <v>#REF!</v>
      </c>
      <c r="S10" s="117" t="e">
        <f>IF(#REF!="F",#REF!)</f>
        <v>#REF!</v>
      </c>
      <c r="T10" s="117" t="e">
        <f>IF(#REF!="M",#REF!)</f>
        <v>#REF!</v>
      </c>
      <c r="U10" s="117" t="e">
        <f>IF(#REF!="F",#REF!)</f>
        <v>#REF!</v>
      </c>
      <c r="V10" s="1"/>
      <c r="W10" s="102"/>
      <c r="X10" s="102"/>
      <c r="Y10" s="103"/>
      <c r="Z10" s="73"/>
      <c r="AA10" s="73"/>
      <c r="AB10" s="73"/>
      <c r="AC10" s="11" t="b">
        <f t="shared" si="4"/>
        <v>0</v>
      </c>
      <c r="AD10" s="11" t="b">
        <f t="shared" si="5"/>
        <v>0</v>
      </c>
      <c r="AE10" s="11" t="b">
        <f t="shared" si="6"/>
        <v>0</v>
      </c>
      <c r="AF10" s="11" t="b">
        <f t="shared" si="7"/>
        <v>0</v>
      </c>
    </row>
    <row r="11" spans="1:81">
      <c r="A11" s="12" t="s">
        <v>9</v>
      </c>
      <c r="B11" s="149">
        <v>1068</v>
      </c>
      <c r="C11" s="93" t="s">
        <v>496</v>
      </c>
      <c r="D11" s="14">
        <v>9.4</v>
      </c>
      <c r="E11" s="14">
        <v>8.5</v>
      </c>
      <c r="F11" s="13">
        <f t="shared" si="8"/>
        <v>17.899999999999999</v>
      </c>
      <c r="G11" s="15" t="b">
        <f t="shared" si="0"/>
        <v>0</v>
      </c>
      <c r="H11" s="15">
        <f t="shared" si="1"/>
        <v>9.4</v>
      </c>
      <c r="I11" s="15" t="b">
        <f t="shared" si="2"/>
        <v>0</v>
      </c>
      <c r="J11" s="15">
        <f t="shared" si="3"/>
        <v>8.5</v>
      </c>
      <c r="K11" s="8"/>
      <c r="L11" s="12" t="s">
        <v>9</v>
      </c>
      <c r="M11" s="149">
        <v>1074</v>
      </c>
      <c r="N11" s="93" t="s">
        <v>522</v>
      </c>
      <c r="O11" s="14">
        <v>9.5</v>
      </c>
      <c r="P11" s="14">
        <v>8.75</v>
      </c>
      <c r="Q11" s="13">
        <f t="shared" si="9"/>
        <v>18.25</v>
      </c>
      <c r="R11" s="23" t="e">
        <f>IF(#REF!="M",#REF!)</f>
        <v>#REF!</v>
      </c>
      <c r="S11" s="23" t="e">
        <f>IF(#REF!="F",#REF!)</f>
        <v>#REF!</v>
      </c>
      <c r="T11" s="23" t="e">
        <f>IF(#REF!="M",#REF!)</f>
        <v>#REF!</v>
      </c>
      <c r="U11" s="23" t="e">
        <f>IF(#REF!="F",#REF!)</f>
        <v>#REF!</v>
      </c>
      <c r="V11" s="106"/>
      <c r="W11" s="102"/>
      <c r="X11" s="102"/>
      <c r="Y11" s="103"/>
      <c r="Z11" s="68"/>
      <c r="AA11" s="68"/>
      <c r="AB11" s="73"/>
      <c r="AC11" s="15" t="b">
        <f t="shared" si="4"/>
        <v>0</v>
      </c>
      <c r="AD11" s="15" t="b">
        <f t="shared" si="5"/>
        <v>0</v>
      </c>
      <c r="AE11" s="15" t="b">
        <f t="shared" si="6"/>
        <v>0</v>
      </c>
      <c r="AF11" s="15" t="b">
        <f t="shared" si="7"/>
        <v>0</v>
      </c>
      <c r="AG11" s="8"/>
    </row>
    <row r="12" spans="1:81">
      <c r="A12" s="12" t="s">
        <v>9</v>
      </c>
      <c r="B12" s="149">
        <v>1069</v>
      </c>
      <c r="C12" s="93" t="s">
        <v>502</v>
      </c>
      <c r="D12" s="14">
        <v>8.9</v>
      </c>
      <c r="E12" s="14">
        <v>8.85</v>
      </c>
      <c r="F12" s="13">
        <f t="shared" si="8"/>
        <v>17.75</v>
      </c>
      <c r="G12" s="15" t="b">
        <f t="shared" si="0"/>
        <v>0</v>
      </c>
      <c r="H12" s="15">
        <f t="shared" si="1"/>
        <v>8.9</v>
      </c>
      <c r="I12" s="15" t="b">
        <f t="shared" si="2"/>
        <v>0</v>
      </c>
      <c r="J12" s="15">
        <f t="shared" si="3"/>
        <v>8.85</v>
      </c>
      <c r="K12" s="8"/>
      <c r="L12" s="12" t="s">
        <v>9</v>
      </c>
      <c r="M12" s="149">
        <v>1075</v>
      </c>
      <c r="N12" s="93" t="s">
        <v>521</v>
      </c>
      <c r="O12" s="14">
        <v>9.5</v>
      </c>
      <c r="P12" s="14">
        <v>8.8000000000000007</v>
      </c>
      <c r="Q12" s="13">
        <f t="shared" si="9"/>
        <v>18.3</v>
      </c>
      <c r="R12" s="23" t="e">
        <f>IF(#REF!="M",#REF!)</f>
        <v>#REF!</v>
      </c>
      <c r="S12" s="23" t="e">
        <f>IF(#REF!="F",#REF!)</f>
        <v>#REF!</v>
      </c>
      <c r="T12" s="23" t="e">
        <f>IF(#REF!="M",#REF!)</f>
        <v>#REF!</v>
      </c>
      <c r="U12" s="23" t="e">
        <f>IF(#REF!="F",#REF!)</f>
        <v>#REF!</v>
      </c>
      <c r="V12" s="106"/>
      <c r="W12" s="102"/>
      <c r="X12" s="102"/>
      <c r="Y12" s="103"/>
      <c r="Z12" s="68"/>
      <c r="AA12" s="68"/>
      <c r="AB12" s="73"/>
      <c r="AC12" s="15" t="b">
        <f t="shared" si="4"/>
        <v>0</v>
      </c>
      <c r="AD12" s="15" t="b">
        <f t="shared" si="5"/>
        <v>0</v>
      </c>
      <c r="AE12" s="15" t="b">
        <f t="shared" si="6"/>
        <v>0</v>
      </c>
      <c r="AF12" s="15" t="b">
        <f t="shared" si="7"/>
        <v>0</v>
      </c>
      <c r="AG12" s="8"/>
    </row>
    <row r="13" spans="1:81" ht="16.5" thickBot="1">
      <c r="A13" s="12" t="s">
        <v>9</v>
      </c>
      <c r="B13" s="149">
        <v>1070</v>
      </c>
      <c r="C13" s="93" t="s">
        <v>499</v>
      </c>
      <c r="D13" s="14">
        <v>9.3000000000000007</v>
      </c>
      <c r="E13" s="14">
        <v>8.6999999999999993</v>
      </c>
      <c r="F13" s="13">
        <f t="shared" si="8"/>
        <v>18</v>
      </c>
      <c r="G13" s="15" t="b">
        <f t="shared" si="0"/>
        <v>0</v>
      </c>
      <c r="H13" s="15">
        <f t="shared" si="1"/>
        <v>9.3000000000000007</v>
      </c>
      <c r="I13" s="15" t="b">
        <f t="shared" si="2"/>
        <v>0</v>
      </c>
      <c r="J13" s="15">
        <f t="shared" si="3"/>
        <v>8.6999999999999993</v>
      </c>
      <c r="K13" s="8"/>
      <c r="L13" s="12" t="s">
        <v>9</v>
      </c>
      <c r="M13" s="149">
        <v>1076</v>
      </c>
      <c r="N13" s="93" t="s">
        <v>500</v>
      </c>
      <c r="O13" s="14">
        <v>9.3000000000000007</v>
      </c>
      <c r="P13" s="14">
        <v>8.4</v>
      </c>
      <c r="Q13" s="13">
        <f t="shared" si="9"/>
        <v>17.700000000000003</v>
      </c>
      <c r="R13" s="23" t="e">
        <f>IF(#REF!="M",#REF!)</f>
        <v>#REF!</v>
      </c>
      <c r="S13" s="23" t="e">
        <f>IF(#REF!="F",#REF!)</f>
        <v>#REF!</v>
      </c>
      <c r="T13" s="23" t="e">
        <f>IF(#REF!="M",#REF!)</f>
        <v>#REF!</v>
      </c>
      <c r="U13" s="23" t="e">
        <f>IF(#REF!="F",#REF!)</f>
        <v>#REF!</v>
      </c>
      <c r="V13" s="106"/>
      <c r="W13" s="102"/>
      <c r="X13" s="102"/>
      <c r="Y13" s="103"/>
      <c r="Z13" s="68"/>
      <c r="AA13" s="68"/>
      <c r="AB13" s="73"/>
      <c r="AC13" s="15" t="b">
        <f t="shared" si="4"/>
        <v>0</v>
      </c>
      <c r="AD13" s="15" t="b">
        <f t="shared" si="5"/>
        <v>0</v>
      </c>
      <c r="AE13" s="15" t="b">
        <f t="shared" si="6"/>
        <v>0</v>
      </c>
      <c r="AF13" s="15" t="b">
        <f t="shared" si="7"/>
        <v>0</v>
      </c>
      <c r="AG13" s="8"/>
    </row>
    <row r="14" spans="1:81" ht="16.5" thickBot="1">
      <c r="A14" s="8"/>
      <c r="B14" s="8"/>
      <c r="C14" s="18" t="s">
        <v>10</v>
      </c>
      <c r="D14" s="19">
        <f>G15+H15</f>
        <v>37.300000000000004</v>
      </c>
      <c r="E14" s="19">
        <f>I15+J15</f>
        <v>35.099999999999994</v>
      </c>
      <c r="F14" s="20">
        <f>SUM(D14:E14)</f>
        <v>72.400000000000006</v>
      </c>
      <c r="G14" s="8">
        <f>COUNTIF(A8:A13,"M")</f>
        <v>3</v>
      </c>
      <c r="H14" s="8">
        <f>COUNTIF(A8:A13,"F")</f>
        <v>3</v>
      </c>
      <c r="I14" s="8">
        <f>COUNTIF(A8:A13,"M")</f>
        <v>3</v>
      </c>
      <c r="J14" s="8">
        <f>COUNTIF(A8:A13,"F")</f>
        <v>3</v>
      </c>
      <c r="K14" s="8"/>
      <c r="L14" s="8"/>
      <c r="M14" s="8"/>
      <c r="N14" s="18" t="s">
        <v>10</v>
      </c>
      <c r="O14" s="19">
        <v>36.6</v>
      </c>
      <c r="P14" s="19">
        <v>35.85</v>
      </c>
      <c r="Q14" s="20">
        <f>SUM(O14:P14)</f>
        <v>72.45</v>
      </c>
      <c r="R14" s="106" t="e">
        <f>COUNTIF(#REF!,"M")</f>
        <v>#REF!</v>
      </c>
      <c r="S14" s="106" t="e">
        <f>COUNTIF(#REF!,"F")</f>
        <v>#REF!</v>
      </c>
      <c r="T14" s="106" t="e">
        <f>COUNTIF(#REF!,"M")</f>
        <v>#REF!</v>
      </c>
      <c r="U14" s="106" t="e">
        <f>COUNTIF(#REF!,"F")</f>
        <v>#REF!</v>
      </c>
      <c r="V14" s="106"/>
      <c r="W14" s="106"/>
      <c r="X14" s="106"/>
      <c r="Y14" s="84"/>
      <c r="Z14" s="64"/>
      <c r="AA14" s="64"/>
      <c r="AB14" s="105"/>
      <c r="AC14" s="8">
        <f>COUNTIF(W8:W13,"M")</f>
        <v>0</v>
      </c>
      <c r="AD14" s="8">
        <f>COUNTIF(W8:W13,"F")</f>
        <v>0</v>
      </c>
      <c r="AE14" s="8">
        <f>COUNTIF(W8:W13,"M")</f>
        <v>0</v>
      </c>
      <c r="AF14" s="8">
        <f>COUNTIF(W8:W13,"F")</f>
        <v>0</v>
      </c>
      <c r="AG14" s="8"/>
    </row>
    <row r="15" spans="1:81">
      <c r="A15" s="8"/>
      <c r="B15" s="21"/>
      <c r="C15" s="94" t="s">
        <v>1302</v>
      </c>
      <c r="D15" s="8"/>
      <c r="E15" s="18"/>
      <c r="F15" s="22"/>
      <c r="G15" s="23">
        <f>IF(G14=2,SUM(G8:G13),IF(G14=3,SUM(G8:G13)-SMALL(G8:G13,1),IF(G14=4,SUM(G8:G13)-SMALL(G8:G13,1)-SMALL(G8:G13,2))))</f>
        <v>18.600000000000001</v>
      </c>
      <c r="H15" s="23">
        <f>IF(H14=2,SUM(H8:H13),IF(H14=3,SUM(H8:H13)-SMALL(H8:H13,1),IF(H14=4,SUM(H8:H13)-SMALL(H8:H13,1)-SMALL(H8:H13,2))))</f>
        <v>18.700000000000003</v>
      </c>
      <c r="I15" s="23">
        <f>IF(I14=2,SUM(I8:I13),IF(I14=3,SUM(I8:I13)-SMALL(I8:I13,1),IF(I14=4,SUM(I8:I13)-SMALL(I8:I13,1)-SMALL(I8:I13,2))))</f>
        <v>17.549999999999997</v>
      </c>
      <c r="J15" s="23">
        <f>IF(J14=2,SUM(J8:J13),IF(J14=3,SUM(J8:J13)-SMALL(J8:J13,1),IF(J14=4,SUM(J8:J13)-SMALL(J8:J13,1)-SMALL(J8:J13,2))))</f>
        <v>17.55</v>
      </c>
      <c r="K15" s="8"/>
      <c r="L15" s="8"/>
      <c r="M15" s="21"/>
      <c r="N15" s="94" t="s">
        <v>1302</v>
      </c>
      <c r="O15" s="8"/>
      <c r="P15" s="18"/>
      <c r="Q15" s="22"/>
      <c r="R15" s="23" t="e">
        <f>IF(R14=2,SUM(R8:R13),IF(R14=3,SUM(R8:R13)-SMALL(R8:R13,1),IF(R14=4,SUM(R8:R13)-SMALL(R8:R13,1)-SMALL(R8:R13,2))))</f>
        <v>#REF!</v>
      </c>
      <c r="S15" s="23" t="e">
        <f>IF(S14=2,SUM(S8:S13),IF(S14=3,SUM(S8:S13)-SMALL(S8:S13,1),IF(S14=4,SUM(S8:S13)-SMALL(S8:S13,1)-SMALL(S8:S13,2))))</f>
        <v>#REF!</v>
      </c>
      <c r="T15" s="23" t="e">
        <f>IF(T14=2,SUM(T8:T13),IF(T14=3,SUM(T8:T13)-SMALL(T8:T13,1),IF(T14=4,SUM(T8:T13)-SMALL(T8:T13,1)-SMALL(T8:T13,2))))</f>
        <v>#REF!</v>
      </c>
      <c r="U15" s="23" t="e">
        <f>IF(U14=2,SUM(U8:U13),IF(U14=3,SUM(U8:U13)-SMALL(U8:U13,1),IF(U14=4,SUM(U8:U13)-SMALL(U8:U13,1)-SMALL(U8:U13,2))))</f>
        <v>#REF!</v>
      </c>
      <c r="V15" s="8"/>
      <c r="W15" s="8"/>
      <c r="X15" s="21"/>
      <c r="Y15" s="8"/>
      <c r="Z15" s="8"/>
      <c r="AA15" s="18"/>
      <c r="AB15" s="22"/>
      <c r="AC15" s="23" t="b">
        <f>IF(AC14=2,SUM(AC8:AC13),IF(AC14=3,SUM(AC8:AC13)-SMALL(AC8:AC13,1),IF(AC14=4,SUM(AC8:AC13)-SMALL(AC8:AC13,1)-SMALL(AC8:AC13,2))))</f>
        <v>0</v>
      </c>
      <c r="AD15" s="23" t="b">
        <f>IF(AD14=2,SUM(AD8:AD13),IF(AD14=3,SUM(AD8:AD13)-SMALL(AD8:AD13,1),IF(AD14=4,SUM(AD8:AD13)-SMALL(AD8:AD13,1)-SMALL(AD8:AD13,2))))</f>
        <v>0</v>
      </c>
      <c r="AE15" s="23" t="b">
        <f>IF(AE14=2,SUM(AE8:AE13),IF(AE14=3,SUM(AE8:AE13)-SMALL(AE8:AE13,1),IF(AE14=4,SUM(AE8:AE13)-SMALL(AE8:AE13,1)-SMALL(AE8:AE13,2))))</f>
        <v>0</v>
      </c>
      <c r="AF15" s="23" t="b">
        <f>IF(AF14=2,SUM(AF8:AF13),IF(AF14=3,SUM(AF8:AF13)-SMALL(AF8:AF13,1),IF(AF14=4,SUM(AF8:AF13)-SMALL(AF8:AF13,1)-SMALL(AF8:AF13,2))))</f>
        <v>0</v>
      </c>
      <c r="AG15" s="8"/>
    </row>
  </sheetData>
  <mergeCells count="5">
    <mergeCell ref="L6:Q6"/>
    <mergeCell ref="L4:O4"/>
    <mergeCell ref="A6:F6"/>
    <mergeCell ref="A1:AB1"/>
    <mergeCell ref="A2:AB2"/>
  </mergeCells>
  <phoneticPr fontId="21" type="noConversion"/>
  <conditionalFormatting sqref="AA7:AA8">
    <cfRule type="cellIs" dxfId="444" priority="1" operator="equal">
      <formula>3</formula>
    </cfRule>
    <cfRule type="cellIs" dxfId="443" priority="2" operator="equal">
      <formula>2</formula>
    </cfRule>
    <cfRule type="cellIs" dxfId="442" priority="3" operator="equal">
      <formula>1</formula>
    </cfRule>
  </conditionalFormatting>
  <pageMargins left="0.75" right="0.75" top="1" bottom="1" header="0.5" footer="0.5"/>
  <pageSetup paperSize="9" scale="70" orientation="landscape" horizontalDpi="4294967292" verticalDpi="4294967292"/>
  <colBreaks count="1" manualBreakCount="1">
    <brk id="33" max="1048575" man="1"/>
  </colBreaks>
  <ignoredErrors>
    <ignoredError sqref="Z8" calculatedColumn="1"/>
  </ignoredErrors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27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375" customWidth="1"/>
    <col min="2" max="2" width="17.5" bestFit="1" customWidth="1"/>
    <col min="3" max="4" width="7.5" bestFit="1" customWidth="1"/>
    <col min="5" max="5" width="7.375" bestFit="1" customWidth="1"/>
    <col min="6" max="6" width="0.5" customWidth="1"/>
    <col min="7" max="7" width="6.625" customWidth="1"/>
    <col min="8" max="8" width="18.375" customWidth="1"/>
    <col min="9" max="10" width="7.5" bestFit="1" customWidth="1"/>
    <col min="11" max="11" width="7.375" bestFit="1" customWidth="1"/>
    <col min="12" max="12" width="0.5" customWidth="1"/>
    <col min="13" max="13" width="5.5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625" customWidth="1"/>
    <col min="22" max="22" width="5.625" customWidth="1"/>
    <col min="23" max="23" width="17.375" bestFit="1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70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0"/>
      <c r="BJ2" s="90"/>
    </row>
    <row r="3" spans="1:70" ht="28.5" customHeight="1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A4" s="8"/>
      <c r="E4" s="1"/>
      <c r="F4" s="1"/>
      <c r="G4" s="461" t="s">
        <v>128</v>
      </c>
      <c r="H4" s="474"/>
      <c r="I4" s="474"/>
      <c r="J4" s="475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6" spans="1:70" s="8" customFormat="1">
      <c r="A6" s="252" t="s">
        <v>561</v>
      </c>
      <c r="B6" s="156"/>
      <c r="C6" s="156"/>
      <c r="D6" s="156"/>
      <c r="E6" s="157"/>
      <c r="G6" s="252" t="s">
        <v>1128</v>
      </c>
      <c r="H6" s="173"/>
      <c r="I6" s="173"/>
      <c r="J6" s="173"/>
      <c r="K6" s="174"/>
      <c r="L6" s="106"/>
      <c r="M6" s="326" t="s">
        <v>1306</v>
      </c>
      <c r="N6" s="146"/>
      <c r="O6" s="146"/>
      <c r="P6" s="146"/>
      <c r="Q6" s="146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L7" s="1"/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33" t="s">
        <v>81</v>
      </c>
      <c r="V7" s="149">
        <v>1092</v>
      </c>
      <c r="W7" s="42" t="s">
        <v>105</v>
      </c>
      <c r="X7" s="14">
        <f>O8</f>
        <v>9.5</v>
      </c>
      <c r="Y7" s="283">
        <f>SUMPRODUCT((X$7:X$24&gt;X7)/COUNTIF(X$7:X$24,X$7:X$24&amp;""))+1</f>
        <v>2</v>
      </c>
      <c r="Z7" s="14">
        <f>P8</f>
        <v>8.85</v>
      </c>
      <c r="AA7" s="283">
        <f>SUMPRODUCT((Z$7:Z$24&gt;Z7)/COUNTIF(Z$7:Z$24,Z$7:Z$24&amp;""))+1</f>
        <v>3</v>
      </c>
      <c r="AB7" s="217">
        <f>Table35121314243911162225[[#This Row],[Floor]]+Table35121314243911162225[[#This Row],[Vault]]</f>
        <v>18.350000000000001</v>
      </c>
      <c r="AC7" s="283">
        <f>SUMPRODUCT((AB$7:AB$24&gt;AB7)/COUNTIF(AB$7:AB$24,AB$7:AB$24&amp;""))+1</f>
        <v>3</v>
      </c>
    </row>
    <row r="8" spans="1:70">
      <c r="A8" s="149">
        <v>1080</v>
      </c>
      <c r="B8" s="93" t="s">
        <v>469</v>
      </c>
      <c r="C8" s="13">
        <v>8.8000000000000007</v>
      </c>
      <c r="D8" s="13">
        <v>8.3000000000000007</v>
      </c>
      <c r="E8" s="13">
        <f>SUM(C8,D8)</f>
        <v>17.100000000000001</v>
      </c>
      <c r="G8" s="396">
        <v>1086</v>
      </c>
      <c r="H8" s="436" t="s">
        <v>1130</v>
      </c>
      <c r="I8" s="398">
        <v>0</v>
      </c>
      <c r="J8" s="398">
        <v>0</v>
      </c>
      <c r="K8" s="398">
        <f>SUM(I8,J8)</f>
        <v>0</v>
      </c>
      <c r="L8" s="1"/>
      <c r="M8" s="149">
        <v>1092</v>
      </c>
      <c r="N8" s="42" t="s">
        <v>105</v>
      </c>
      <c r="O8" s="13">
        <v>9.5</v>
      </c>
      <c r="P8" s="13">
        <v>8.85</v>
      </c>
      <c r="Q8" s="13">
        <f>SUM(O8,P8)</f>
        <v>18.350000000000001</v>
      </c>
      <c r="U8" s="400" t="s">
        <v>81</v>
      </c>
      <c r="V8" s="396">
        <v>1093</v>
      </c>
      <c r="W8" s="407" t="s">
        <v>268</v>
      </c>
      <c r="X8" s="401">
        <f>O9</f>
        <v>0</v>
      </c>
      <c r="Y8" s="402">
        <f t="shared" ref="Y8:Y24" si="0">SUMPRODUCT((X$7:X$24&gt;X8)/COUNTIF(X$7:X$24,X$7:X$24&amp;""))+1</f>
        <v>12</v>
      </c>
      <c r="Z8" s="401">
        <f>P9</f>
        <v>0</v>
      </c>
      <c r="AA8" s="402">
        <f t="shared" ref="AA8:AA24" si="1">SUMPRODUCT((Z$7:Z$24&gt;Z8)/COUNTIF(Z$7:Z$24,Z$7:Z$24&amp;""))+1</f>
        <v>11</v>
      </c>
      <c r="AB8" s="415">
        <f>Table35121314243911162225[[#This Row],[Floor]]+Table35121314243911162225[[#This Row],[Vault]]</f>
        <v>0</v>
      </c>
      <c r="AC8" s="402">
        <f t="shared" ref="AC8:AC24" si="2">SUMPRODUCT((AB$7:AB$24&gt;AB8)/COUNTIF(AB$7:AB$24,AB$7:AB$24&amp;""))+1</f>
        <v>14</v>
      </c>
    </row>
    <row r="9" spans="1:70">
      <c r="A9" s="149">
        <v>1081</v>
      </c>
      <c r="B9" s="93" t="s">
        <v>93</v>
      </c>
      <c r="C9" s="13">
        <v>6.8</v>
      </c>
      <c r="D9" s="13">
        <v>8.25</v>
      </c>
      <c r="E9" s="13">
        <f t="shared" ref="E9:E13" si="3">SUM(C9,D9)</f>
        <v>15.05</v>
      </c>
      <c r="G9" s="396">
        <v>1087</v>
      </c>
      <c r="H9" s="436" t="s">
        <v>1131</v>
      </c>
      <c r="I9" s="398">
        <v>0</v>
      </c>
      <c r="J9" s="398">
        <v>0</v>
      </c>
      <c r="K9" s="398">
        <f t="shared" ref="K9:K13" si="4">SUM(I9,J9)</f>
        <v>0</v>
      </c>
      <c r="L9" s="1"/>
      <c r="M9" s="396">
        <v>1093</v>
      </c>
      <c r="N9" s="407" t="s">
        <v>268</v>
      </c>
      <c r="O9" s="398">
        <v>0</v>
      </c>
      <c r="P9" s="398">
        <v>0</v>
      </c>
      <c r="Q9" s="398">
        <f t="shared" ref="Q9" si="5">SUM(O9,P9)</f>
        <v>0</v>
      </c>
      <c r="U9" s="33" t="s">
        <v>87</v>
      </c>
      <c r="V9" s="149">
        <v>1080</v>
      </c>
      <c r="W9" s="93" t="s">
        <v>469</v>
      </c>
      <c r="X9" s="14">
        <f>C8</f>
        <v>8.8000000000000007</v>
      </c>
      <c r="Y9" s="283">
        <f t="shared" si="0"/>
        <v>5</v>
      </c>
      <c r="Z9" s="14">
        <f>D8</f>
        <v>8.3000000000000007</v>
      </c>
      <c r="AA9" s="283">
        <f t="shared" si="1"/>
        <v>8</v>
      </c>
      <c r="AB9" s="217">
        <f>Table35121314243911162225[[#This Row],[Floor]]+Table35121314243911162225[[#This Row],[Vault]]</f>
        <v>17.100000000000001</v>
      </c>
      <c r="AC9" s="283">
        <f t="shared" si="2"/>
        <v>8</v>
      </c>
    </row>
    <row r="10" spans="1:70">
      <c r="A10" s="149">
        <v>1082</v>
      </c>
      <c r="B10" s="93" t="s">
        <v>92</v>
      </c>
      <c r="C10" s="13">
        <v>9</v>
      </c>
      <c r="D10" s="13">
        <v>8.1999999999999993</v>
      </c>
      <c r="E10" s="13">
        <f t="shared" si="3"/>
        <v>17.2</v>
      </c>
      <c r="G10" s="396">
        <v>1088</v>
      </c>
      <c r="H10" s="436" t="s">
        <v>20</v>
      </c>
      <c r="I10" s="398">
        <v>0</v>
      </c>
      <c r="J10" s="398">
        <v>0</v>
      </c>
      <c r="K10" s="398">
        <f t="shared" si="4"/>
        <v>0</v>
      </c>
      <c r="L10" s="1"/>
      <c r="M10" s="152"/>
      <c r="N10" s="1"/>
      <c r="O10" s="73"/>
      <c r="P10" s="73"/>
      <c r="Q10" s="73"/>
      <c r="U10" s="33" t="s">
        <v>87</v>
      </c>
      <c r="V10" s="149">
        <v>1081</v>
      </c>
      <c r="W10" s="93" t="s">
        <v>93</v>
      </c>
      <c r="X10" s="14">
        <f t="shared" ref="X10:X13" si="6">C9</f>
        <v>6.8</v>
      </c>
      <c r="Y10" s="283">
        <f t="shared" si="0"/>
        <v>11</v>
      </c>
      <c r="Z10" s="14">
        <f t="shared" ref="Z10:Z14" si="7">D9</f>
        <v>8.25</v>
      </c>
      <c r="AA10" s="283">
        <f t="shared" si="1"/>
        <v>9</v>
      </c>
      <c r="AB10" s="217">
        <f>Table35121314243911162225[[#This Row],[Floor]]+Table35121314243911162225[[#This Row],[Vault]]</f>
        <v>15.05</v>
      </c>
      <c r="AC10" s="283">
        <f t="shared" si="2"/>
        <v>13</v>
      </c>
    </row>
    <row r="11" spans="1:70">
      <c r="A11" s="149">
        <v>1083</v>
      </c>
      <c r="B11" s="93" t="s">
        <v>32</v>
      </c>
      <c r="C11" s="13">
        <v>8.5</v>
      </c>
      <c r="D11" s="13">
        <v>8.3000000000000007</v>
      </c>
      <c r="E11" s="13">
        <f t="shared" si="3"/>
        <v>16.8</v>
      </c>
      <c r="G11" s="396">
        <v>1089</v>
      </c>
      <c r="H11" s="436" t="s">
        <v>470</v>
      </c>
      <c r="I11" s="398">
        <v>0</v>
      </c>
      <c r="J11" s="398">
        <v>0</v>
      </c>
      <c r="K11" s="398">
        <f t="shared" si="4"/>
        <v>0</v>
      </c>
      <c r="L11" s="1"/>
      <c r="M11" s="102"/>
      <c r="N11" s="114"/>
      <c r="O11" s="1"/>
      <c r="P11" s="104"/>
      <c r="Q11" s="73"/>
      <c r="U11" s="33" t="s">
        <v>87</v>
      </c>
      <c r="V11" s="149">
        <v>1082</v>
      </c>
      <c r="W11" s="93" t="s">
        <v>92</v>
      </c>
      <c r="X11" s="14">
        <f>C10</f>
        <v>9</v>
      </c>
      <c r="Y11" s="283">
        <f t="shared" si="0"/>
        <v>4</v>
      </c>
      <c r="Z11" s="14">
        <f t="shared" si="7"/>
        <v>8.1999999999999993</v>
      </c>
      <c r="AA11" s="283">
        <f t="shared" si="1"/>
        <v>10</v>
      </c>
      <c r="AB11" s="217">
        <f>Table35121314243911162225[[#This Row],[Floor]]+Table35121314243911162225[[#This Row],[Vault]]</f>
        <v>17.2</v>
      </c>
      <c r="AC11" s="283">
        <f t="shared" si="2"/>
        <v>6</v>
      </c>
    </row>
    <row r="12" spans="1:70">
      <c r="A12" s="149">
        <v>1084</v>
      </c>
      <c r="B12" s="93" t="s">
        <v>94</v>
      </c>
      <c r="C12" s="13">
        <v>8.6999999999999993</v>
      </c>
      <c r="D12" s="13">
        <v>8.4499999999999993</v>
      </c>
      <c r="E12" s="13">
        <f t="shared" si="3"/>
        <v>17.149999999999999</v>
      </c>
      <c r="G12" s="149">
        <v>1090</v>
      </c>
      <c r="H12" s="93" t="s">
        <v>73</v>
      </c>
      <c r="I12" s="13">
        <v>7.8</v>
      </c>
      <c r="J12" s="13">
        <v>8.1999999999999993</v>
      </c>
      <c r="K12" s="13">
        <f t="shared" si="4"/>
        <v>16</v>
      </c>
      <c r="L12" s="1"/>
      <c r="M12" s="102"/>
      <c r="N12" s="39" t="s">
        <v>12</v>
      </c>
      <c r="O12" s="43" t="s">
        <v>5</v>
      </c>
      <c r="P12" s="44" t="s">
        <v>11</v>
      </c>
      <c r="Q12" s="73"/>
      <c r="U12" s="33" t="s">
        <v>87</v>
      </c>
      <c r="V12" s="149">
        <v>1083</v>
      </c>
      <c r="W12" s="93" t="s">
        <v>32</v>
      </c>
      <c r="X12" s="14">
        <f t="shared" si="6"/>
        <v>8.5</v>
      </c>
      <c r="Y12" s="283">
        <f t="shared" si="0"/>
        <v>7</v>
      </c>
      <c r="Z12" s="14">
        <f t="shared" si="7"/>
        <v>8.3000000000000007</v>
      </c>
      <c r="AA12" s="283">
        <f t="shared" si="1"/>
        <v>8</v>
      </c>
      <c r="AB12" s="217">
        <f>Table35121314243911162225[[#This Row],[Floor]]+Table35121314243911162225[[#This Row],[Vault]]</f>
        <v>16.8</v>
      </c>
      <c r="AC12" s="283">
        <f t="shared" si="2"/>
        <v>10</v>
      </c>
    </row>
    <row r="13" spans="1:70" ht="16.5" thickBot="1">
      <c r="A13" s="149">
        <v>1085</v>
      </c>
      <c r="B13" s="93" t="s">
        <v>1129</v>
      </c>
      <c r="C13" s="13">
        <v>8.4</v>
      </c>
      <c r="D13" s="13">
        <v>8.5</v>
      </c>
      <c r="E13" s="13">
        <f t="shared" si="3"/>
        <v>16.899999999999999</v>
      </c>
      <c r="F13" s="8"/>
      <c r="G13" s="149">
        <v>1091</v>
      </c>
      <c r="H13" s="93" t="s">
        <v>1132</v>
      </c>
      <c r="I13" s="13">
        <v>8.1</v>
      </c>
      <c r="J13" s="13">
        <v>8.25</v>
      </c>
      <c r="K13" s="13">
        <f t="shared" si="4"/>
        <v>16.350000000000001</v>
      </c>
      <c r="L13" s="106"/>
      <c r="M13" s="102"/>
      <c r="N13" s="45" t="s">
        <v>1292</v>
      </c>
      <c r="O13" s="46">
        <f>E14</f>
        <v>68.55</v>
      </c>
      <c r="P13" s="40">
        <f>SUMPRODUCT((O$13:O$13&gt;O13)/COUNTIF(O$13:O$13,O$13:O$13&amp;""))+1</f>
        <v>1</v>
      </c>
      <c r="Q13" s="68"/>
      <c r="U13" s="33" t="s">
        <v>87</v>
      </c>
      <c r="V13" s="149">
        <v>1084</v>
      </c>
      <c r="W13" s="93" t="s">
        <v>94</v>
      </c>
      <c r="X13" s="14">
        <f t="shared" si="6"/>
        <v>8.6999999999999993</v>
      </c>
      <c r="Y13" s="283">
        <f t="shared" si="0"/>
        <v>6</v>
      </c>
      <c r="Z13" s="14">
        <f t="shared" si="7"/>
        <v>8.4499999999999993</v>
      </c>
      <c r="AA13" s="283">
        <f t="shared" si="1"/>
        <v>7</v>
      </c>
      <c r="AB13" s="217">
        <f>Table35121314243911162225[[#This Row],[Floor]]+Table35121314243911162225[[#This Row],[Vault]]</f>
        <v>17.149999999999999</v>
      </c>
      <c r="AC13" s="283">
        <f t="shared" si="2"/>
        <v>7</v>
      </c>
    </row>
    <row r="14" spans="1:70" ht="16.5" thickBot="1">
      <c r="B14" s="25" t="s">
        <v>10</v>
      </c>
      <c r="C14" s="19">
        <f>SUM(C8:C13)-SMALL(C8:C13,1)-SMALL(C8:C13,2)</f>
        <v>35</v>
      </c>
      <c r="D14" s="19">
        <f>SUM(D8:D13)-SMALL(D8:D13,1)-SMALL(D8:D13,2)</f>
        <v>33.549999999999997</v>
      </c>
      <c r="E14" s="20">
        <f>SUM(C14:D14)</f>
        <v>68.55</v>
      </c>
      <c r="F14" s="8"/>
      <c r="H14" s="25" t="s">
        <v>10</v>
      </c>
      <c r="I14" s="19">
        <f>SUM(I8:I13)-SMALL(I8:I13,1)-SMALL(I8:I13,2)</f>
        <v>15.899999999999999</v>
      </c>
      <c r="J14" s="19">
        <f>SUM(J8:J13)-SMALL(J8:J13,1)-SMALL(J8:J13,2)</f>
        <v>16.45</v>
      </c>
      <c r="K14" s="20">
        <f>SUM(I14:J14)</f>
        <v>32.349999999999994</v>
      </c>
      <c r="L14" s="106"/>
      <c r="M14" s="1"/>
      <c r="N14" s="54"/>
      <c r="O14" s="62"/>
      <c r="P14" s="210"/>
      <c r="Q14" s="105"/>
      <c r="U14" s="33" t="s">
        <v>87</v>
      </c>
      <c r="V14" s="149">
        <v>1085</v>
      </c>
      <c r="W14" s="93" t="s">
        <v>1129</v>
      </c>
      <c r="X14" s="14">
        <f>C13</f>
        <v>8.4</v>
      </c>
      <c r="Y14" s="283">
        <f t="shared" si="0"/>
        <v>8</v>
      </c>
      <c r="Z14" s="14">
        <f t="shared" si="7"/>
        <v>8.5</v>
      </c>
      <c r="AA14" s="283">
        <f t="shared" si="1"/>
        <v>6</v>
      </c>
      <c r="AB14" s="217">
        <f>Table35121314243911162225[[#This Row],[Floor]]+Table35121314243911162225[[#This Row],[Vault]]</f>
        <v>16.899999999999999</v>
      </c>
      <c r="AC14" s="283">
        <f t="shared" si="2"/>
        <v>9</v>
      </c>
    </row>
    <row r="15" spans="1:70">
      <c r="B15" s="94" t="s">
        <v>37</v>
      </c>
      <c r="D15" s="25"/>
      <c r="E15" s="26"/>
      <c r="H15" s="94" t="s">
        <v>37</v>
      </c>
      <c r="J15" s="25"/>
      <c r="K15" s="26"/>
      <c r="L15" s="1"/>
      <c r="M15" s="1"/>
      <c r="N15" s="45"/>
      <c r="O15" s="47"/>
      <c r="P15" s="40"/>
      <c r="Q15" s="115"/>
      <c r="U15" s="400" t="s">
        <v>87</v>
      </c>
      <c r="V15" s="396">
        <v>1086</v>
      </c>
      <c r="W15" s="436" t="s">
        <v>1130</v>
      </c>
      <c r="X15" s="398">
        <f>I8</f>
        <v>0</v>
      </c>
      <c r="Y15" s="402">
        <f t="shared" si="0"/>
        <v>12</v>
      </c>
      <c r="Z15" s="398">
        <f>J8</f>
        <v>0</v>
      </c>
      <c r="AA15" s="402">
        <f t="shared" si="1"/>
        <v>11</v>
      </c>
      <c r="AB15" s="415">
        <f>Table35121314243911162225[[#This Row],[Floor]]+Table35121314243911162225[[#This Row],[Vault]]</f>
        <v>0</v>
      </c>
      <c r="AC15" s="402">
        <f t="shared" si="2"/>
        <v>14</v>
      </c>
    </row>
    <row r="16" spans="1:70">
      <c r="U16" s="400" t="s">
        <v>87</v>
      </c>
      <c r="V16" s="396">
        <v>1087</v>
      </c>
      <c r="W16" s="436" t="s">
        <v>1131</v>
      </c>
      <c r="X16" s="398">
        <f t="shared" ref="X16:X20" si="8">I9</f>
        <v>0</v>
      </c>
      <c r="Y16" s="402">
        <f t="shared" si="0"/>
        <v>12</v>
      </c>
      <c r="Z16" s="398">
        <f t="shared" ref="Z16:Z19" si="9">J9</f>
        <v>0</v>
      </c>
      <c r="AA16" s="402">
        <f t="shared" si="1"/>
        <v>11</v>
      </c>
      <c r="AB16" s="415">
        <f>Table35121314243911162225[[#This Row],[Floor]]+Table35121314243911162225[[#This Row],[Vault]]</f>
        <v>0</v>
      </c>
      <c r="AC16" s="402">
        <f t="shared" si="2"/>
        <v>14</v>
      </c>
    </row>
    <row r="17" spans="2:29">
      <c r="U17" s="400" t="s">
        <v>87</v>
      </c>
      <c r="V17" s="396">
        <v>1088</v>
      </c>
      <c r="W17" s="436" t="s">
        <v>20</v>
      </c>
      <c r="X17" s="398">
        <f t="shared" si="8"/>
        <v>0</v>
      </c>
      <c r="Y17" s="402">
        <f t="shared" si="0"/>
        <v>12</v>
      </c>
      <c r="Z17" s="398">
        <f>J10</f>
        <v>0</v>
      </c>
      <c r="AA17" s="402">
        <f t="shared" si="1"/>
        <v>11</v>
      </c>
      <c r="AB17" s="415">
        <f>Table35121314243911162225[[#This Row],[Floor]]+Table35121314243911162225[[#This Row],[Vault]]</f>
        <v>0</v>
      </c>
      <c r="AC17" s="402">
        <f t="shared" si="2"/>
        <v>14</v>
      </c>
    </row>
    <row r="18" spans="2:29">
      <c r="N18" s="45"/>
      <c r="O18" s="46"/>
      <c r="P18" s="40"/>
      <c r="U18" s="400" t="s">
        <v>87</v>
      </c>
      <c r="V18" s="396">
        <v>1089</v>
      </c>
      <c r="W18" s="436" t="s">
        <v>470</v>
      </c>
      <c r="X18" s="398">
        <f t="shared" si="8"/>
        <v>0</v>
      </c>
      <c r="Y18" s="402">
        <f t="shared" si="0"/>
        <v>12</v>
      </c>
      <c r="Z18" s="398">
        <f t="shared" si="9"/>
        <v>0</v>
      </c>
      <c r="AA18" s="402">
        <f t="shared" si="1"/>
        <v>11</v>
      </c>
      <c r="AB18" s="415">
        <f>Table35121314243911162225[[#This Row],[Floor]]+Table35121314243911162225[[#This Row],[Vault]]</f>
        <v>0</v>
      </c>
      <c r="AC18" s="402">
        <f t="shared" si="2"/>
        <v>14</v>
      </c>
    </row>
    <row r="19" spans="2:29">
      <c r="N19" s="45"/>
      <c r="O19" s="46"/>
      <c r="P19" s="40"/>
      <c r="U19" s="33" t="s">
        <v>87</v>
      </c>
      <c r="V19" s="149">
        <v>1090</v>
      </c>
      <c r="W19" s="93" t="s">
        <v>73</v>
      </c>
      <c r="X19" s="13">
        <f>I12</f>
        <v>7.8</v>
      </c>
      <c r="Y19" s="283">
        <f t="shared" si="0"/>
        <v>10</v>
      </c>
      <c r="Z19" s="13">
        <f t="shared" si="9"/>
        <v>8.1999999999999993</v>
      </c>
      <c r="AA19" s="283">
        <f t="shared" si="1"/>
        <v>10</v>
      </c>
      <c r="AB19" s="217">
        <f>Table35121314243911162225[[#This Row],[Floor]]+Table35121314243911162225[[#This Row],[Vault]]</f>
        <v>16</v>
      </c>
      <c r="AC19" s="283">
        <f t="shared" si="2"/>
        <v>12</v>
      </c>
    </row>
    <row r="20" spans="2:29">
      <c r="U20" s="33" t="s">
        <v>87</v>
      </c>
      <c r="V20" s="149">
        <v>1091</v>
      </c>
      <c r="W20" s="93" t="s">
        <v>1132</v>
      </c>
      <c r="X20" s="13">
        <f t="shared" si="8"/>
        <v>8.1</v>
      </c>
      <c r="Y20" s="283">
        <f t="shared" si="0"/>
        <v>9</v>
      </c>
      <c r="Z20" s="13">
        <f>J13</f>
        <v>8.25</v>
      </c>
      <c r="AA20" s="283">
        <f t="shared" si="1"/>
        <v>9</v>
      </c>
      <c r="AB20" s="217">
        <f>Table35121314243911162225[[#This Row],[Floor]]+Table35121314243911162225[[#This Row],[Vault]]</f>
        <v>16.350000000000001</v>
      </c>
      <c r="AC20" s="283">
        <f t="shared" si="2"/>
        <v>11</v>
      </c>
    </row>
    <row r="21" spans="2:29">
      <c r="U21" s="287" t="s">
        <v>1227</v>
      </c>
      <c r="V21" s="288">
        <v>1155</v>
      </c>
      <c r="W21" s="303" t="s">
        <v>1224</v>
      </c>
      <c r="X21" s="295">
        <f>'ADV 13&amp;U MX'!D8</f>
        <v>9.6</v>
      </c>
      <c r="Y21" s="283">
        <f t="shared" si="0"/>
        <v>1</v>
      </c>
      <c r="Z21" s="295">
        <f>'ADV 13&amp;U MX'!E8</f>
        <v>8.6999999999999993</v>
      </c>
      <c r="AA21" s="283">
        <f t="shared" si="1"/>
        <v>4</v>
      </c>
      <c r="AB21" s="317">
        <f>Table35121314243911162225[[#This Row],[Floor]]+Table35121314243911162225[[#This Row],[Vault]]</f>
        <v>18.299999999999997</v>
      </c>
      <c r="AC21" s="283">
        <f t="shared" si="2"/>
        <v>4</v>
      </c>
    </row>
    <row r="22" spans="2:29">
      <c r="U22" s="290" t="s">
        <v>1227</v>
      </c>
      <c r="V22" s="291">
        <v>1156</v>
      </c>
      <c r="W22" s="342" t="s">
        <v>210</v>
      </c>
      <c r="X22" s="295">
        <f>'ADV 13&amp;U MX'!D9</f>
        <v>9.6</v>
      </c>
      <c r="Y22" s="283">
        <f t="shared" si="0"/>
        <v>1</v>
      </c>
      <c r="Z22" s="295">
        <f>'ADV 13&amp;U MX'!E9</f>
        <v>9.4499999999999993</v>
      </c>
      <c r="AA22" s="283">
        <f t="shared" si="1"/>
        <v>1</v>
      </c>
      <c r="AB22" s="343">
        <f>Table35121314243911162225[[#This Row],[Floor]]+Table35121314243911162225[[#This Row],[Vault]]</f>
        <v>19.049999999999997</v>
      </c>
      <c r="AC22" s="283">
        <f t="shared" si="2"/>
        <v>1</v>
      </c>
    </row>
    <row r="23" spans="2:29">
      <c r="Q23" s="41"/>
      <c r="R23" s="41"/>
      <c r="S23" s="41"/>
      <c r="T23" s="41"/>
      <c r="U23" s="287" t="s">
        <v>1227</v>
      </c>
      <c r="V23" s="336">
        <v>1161</v>
      </c>
      <c r="W23" s="303" t="s">
        <v>1225</v>
      </c>
      <c r="X23" s="295">
        <f>'ADV 13&amp;U MX'!O8</f>
        <v>9.1999999999999993</v>
      </c>
      <c r="Y23" s="283">
        <f t="shared" si="0"/>
        <v>3</v>
      </c>
      <c r="Z23" s="295">
        <f>'ADV 13&amp;U MX'!P8</f>
        <v>9.3000000000000007</v>
      </c>
      <c r="AA23" s="283">
        <f t="shared" si="1"/>
        <v>2</v>
      </c>
      <c r="AB23" s="317">
        <f>Table35121314243911162225[[#This Row],[Floor]]+Table35121314243911162225[[#This Row],[Vault]]</f>
        <v>18.5</v>
      </c>
      <c r="AC23" s="283">
        <f t="shared" si="2"/>
        <v>2</v>
      </c>
    </row>
    <row r="24" spans="2:29">
      <c r="Q24" s="41"/>
      <c r="R24" s="41"/>
      <c r="S24" s="41"/>
      <c r="T24" s="41"/>
      <c r="U24" s="290" t="s">
        <v>1227</v>
      </c>
      <c r="V24" s="338">
        <v>1162</v>
      </c>
      <c r="W24" s="342" t="s">
        <v>204</v>
      </c>
      <c r="X24" s="295">
        <f>'ADV 13&amp;U MX'!O9</f>
        <v>9.5</v>
      </c>
      <c r="Y24" s="283">
        <f t="shared" si="0"/>
        <v>2</v>
      </c>
      <c r="Z24" s="295">
        <f>'ADV 13&amp;U MX'!P9</f>
        <v>8.5500000000000007</v>
      </c>
      <c r="AA24" s="283">
        <f t="shared" si="1"/>
        <v>5</v>
      </c>
      <c r="AB24" s="343">
        <f>Table35121314243911162225[[#This Row],[Floor]]+Table35121314243911162225[[#This Row],[Vault]]</f>
        <v>18.05</v>
      </c>
      <c r="AC24" s="283">
        <f t="shared" si="2"/>
        <v>5</v>
      </c>
    </row>
    <row r="25" spans="2:29">
      <c r="Q25" s="41"/>
      <c r="R25" s="41"/>
      <c r="S25" s="41"/>
      <c r="T25" s="41"/>
    </row>
    <row r="26" spans="2:29">
      <c r="B26" s="24"/>
      <c r="D26" s="25"/>
      <c r="E26" s="26"/>
      <c r="Q26" s="41"/>
      <c r="R26" s="41"/>
      <c r="S26" s="41"/>
      <c r="T26" s="41"/>
    </row>
    <row r="27" spans="2:29">
      <c r="Q27" s="41"/>
      <c r="R27" s="41"/>
      <c r="S27" s="41"/>
      <c r="T27" s="41"/>
    </row>
  </sheetData>
  <mergeCells count="3">
    <mergeCell ref="A1:AC1"/>
    <mergeCell ref="A2:AC2"/>
    <mergeCell ref="G4:J4"/>
  </mergeCells>
  <phoneticPr fontId="21" type="noConversion"/>
  <conditionalFormatting sqref="P13">
    <cfRule type="cellIs" dxfId="438" priority="10" operator="equal">
      <formula>3</formula>
    </cfRule>
    <cfRule type="cellIs" dxfId="437" priority="11" operator="equal">
      <formula>2</formula>
    </cfRule>
    <cfRule type="cellIs" dxfId="436" priority="12" operator="equal">
      <formula>1</formula>
    </cfRule>
  </conditionalFormatting>
  <conditionalFormatting sqref="Y7:Y24">
    <cfRule type="cellIs" dxfId="435" priority="7" operator="equal">
      <formula>3</formula>
    </cfRule>
    <cfRule type="cellIs" dxfId="434" priority="8" operator="equal">
      <formula>2</formula>
    </cfRule>
    <cfRule type="cellIs" dxfId="433" priority="9" operator="equal">
      <formula>1</formula>
    </cfRule>
  </conditionalFormatting>
  <conditionalFormatting sqref="AA7:AA24">
    <cfRule type="cellIs" dxfId="432" priority="4" operator="equal">
      <formula>3</formula>
    </cfRule>
    <cfRule type="cellIs" dxfId="431" priority="5" operator="equal">
      <formula>2</formula>
    </cfRule>
    <cfRule type="cellIs" dxfId="430" priority="6" operator="equal">
      <formula>1</formula>
    </cfRule>
  </conditionalFormatting>
  <conditionalFormatting sqref="AC7:AC24">
    <cfRule type="cellIs" dxfId="429" priority="1" operator="equal">
      <formula>3</formula>
    </cfRule>
    <cfRule type="cellIs" dxfId="428" priority="2" operator="equal">
      <formula>2</formula>
    </cfRule>
    <cfRule type="cellIs" dxfId="427" priority="3" operator="equal">
      <formula>1</formula>
    </cfRule>
  </conditionalFormatting>
  <pageMargins left="0.75" right="0.75" top="1" bottom="1" header="0.5" footer="0.5"/>
  <pageSetup paperSize="9" scale="55" orientation="landscape" horizontalDpi="4294967292" verticalDpi="4294967292"/>
  <colBreaks count="1" manualBreakCount="1">
    <brk id="29" max="1048575" man="1"/>
  </colBreaks>
  <ignoredErrors>
    <ignoredError sqref="Z7:Z24" formula="1"/>
  </ignoredErrors>
  <tableParts count="2">
    <tablePart r:id="rId1"/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J77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875" customWidth="1"/>
    <col min="2" max="2" width="23.875" bestFit="1" customWidth="1"/>
    <col min="3" max="4" width="7.5" bestFit="1" customWidth="1"/>
    <col min="5" max="5" width="7.375" bestFit="1" customWidth="1"/>
    <col min="6" max="6" width="0.5" customWidth="1"/>
    <col min="7" max="7" width="5.875" customWidth="1"/>
    <col min="8" max="8" width="22" customWidth="1"/>
    <col min="9" max="9" width="7.5" bestFit="1" customWidth="1"/>
    <col min="10" max="10" width="8.375" bestFit="1" customWidth="1"/>
    <col min="11" max="11" width="7.375" bestFit="1" customWidth="1"/>
    <col min="12" max="12" width="0.5" customWidth="1"/>
    <col min="13" max="13" width="5.5" bestFit="1" customWidth="1"/>
    <col min="14" max="14" width="24.375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2" width="7.875" customWidth="1"/>
    <col min="23" max="23" width="23.875" bestFit="1" customWidth="1"/>
    <col min="24" max="24" width="7.875" customWidth="1"/>
    <col min="25" max="25" width="5" style="53" customWidth="1"/>
    <col min="26" max="26" width="9.375" customWidth="1"/>
    <col min="27" max="27" width="4.5" style="57" customWidth="1"/>
    <col min="28" max="28" width="9.375" style="39" customWidth="1"/>
    <col min="29" max="29" width="5.5" style="60" customWidth="1"/>
  </cols>
  <sheetData>
    <row r="1" spans="1:62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62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0"/>
      <c r="BJ2" s="90"/>
    </row>
    <row r="3" spans="1:62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">
      <c r="A4" s="8"/>
      <c r="E4" s="1"/>
      <c r="F4" s="1"/>
      <c r="G4" s="464" t="s">
        <v>129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62" s="8" customFormat="1">
      <c r="A6" s="348" t="s">
        <v>625</v>
      </c>
      <c r="B6" s="349"/>
      <c r="C6" s="349"/>
      <c r="D6" s="349"/>
      <c r="E6" s="350"/>
      <c r="G6" s="348" t="s">
        <v>85</v>
      </c>
      <c r="H6" s="349"/>
      <c r="I6" s="349"/>
      <c r="J6" s="349"/>
      <c r="K6" s="350"/>
      <c r="M6" s="348" t="s">
        <v>749</v>
      </c>
      <c r="N6" s="349"/>
      <c r="O6" s="349"/>
      <c r="P6" s="349"/>
      <c r="Q6" s="350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62">
      <c r="A7" s="354" t="s">
        <v>1</v>
      </c>
      <c r="B7" s="354" t="s">
        <v>2</v>
      </c>
      <c r="C7" s="354" t="s">
        <v>3</v>
      </c>
      <c r="D7" s="354" t="s">
        <v>4</v>
      </c>
      <c r="E7" s="354" t="s">
        <v>5</v>
      </c>
      <c r="F7" s="8"/>
      <c r="G7" s="354" t="s">
        <v>1</v>
      </c>
      <c r="H7" s="354" t="s">
        <v>2</v>
      </c>
      <c r="I7" s="354" t="s">
        <v>3</v>
      </c>
      <c r="J7" s="354" t="s">
        <v>4</v>
      </c>
      <c r="K7" s="354" t="s">
        <v>5</v>
      </c>
      <c r="L7" s="8"/>
      <c r="M7" s="354" t="s">
        <v>1</v>
      </c>
      <c r="N7" s="354" t="s">
        <v>2</v>
      </c>
      <c r="O7" s="354" t="s">
        <v>3</v>
      </c>
      <c r="P7" s="354" t="s">
        <v>4</v>
      </c>
      <c r="Q7" s="354" t="s">
        <v>5</v>
      </c>
      <c r="U7" s="16" t="s">
        <v>215</v>
      </c>
      <c r="V7" s="150">
        <v>1149</v>
      </c>
      <c r="W7" s="93" t="s">
        <v>142</v>
      </c>
      <c r="X7" s="14">
        <f>C41</f>
        <v>9</v>
      </c>
      <c r="Y7" s="283">
        <f>SUMPRODUCT((X$7:X$56&gt;X7)/COUNTIF(X$7:X$56,X$7:X$56&amp;""))+1</f>
        <v>9</v>
      </c>
      <c r="Z7" s="14">
        <f>D41</f>
        <v>9.15</v>
      </c>
      <c r="AA7" s="283">
        <f>SUMPRODUCT((Z$7:Z$56&gt;Z7)/COUNTIF(Z$7:Z$56,Z$7:Z$56&amp;""))+1</f>
        <v>6.0000000000000009</v>
      </c>
      <c r="AB7" s="69">
        <f>Table3515505713182931[[#This Row],[Floor4]]+Table3515505713182931[[#This Row],[Vault6]]</f>
        <v>18.149999999999999</v>
      </c>
      <c r="AC7" s="283">
        <f>SUMPRODUCT((AB$7:AB$56&gt;AB7)/COUNTIF(AB$7:AB$56,AB$7:AB$56&amp;""))+1</f>
        <v>14</v>
      </c>
    </row>
    <row r="8" spans="1:62">
      <c r="A8" s="150">
        <v>1095</v>
      </c>
      <c r="B8" s="359"/>
      <c r="C8" s="14">
        <v>0</v>
      </c>
      <c r="D8" s="14">
        <v>0</v>
      </c>
      <c r="E8" s="14">
        <f>SUM(C8,D8)</f>
        <v>0</v>
      </c>
      <c r="F8" s="8"/>
      <c r="G8" s="150">
        <v>1101</v>
      </c>
      <c r="H8" s="95" t="s">
        <v>707</v>
      </c>
      <c r="I8" s="14">
        <v>8.9</v>
      </c>
      <c r="J8" s="14">
        <v>9.25</v>
      </c>
      <c r="K8" s="14">
        <f>SUM(I8,J8)</f>
        <v>18.149999999999999</v>
      </c>
      <c r="L8" s="8"/>
      <c r="M8" s="150">
        <v>1113</v>
      </c>
      <c r="N8" s="95" t="s">
        <v>302</v>
      </c>
      <c r="O8" s="14">
        <v>9.6</v>
      </c>
      <c r="P8" s="14">
        <v>8.85</v>
      </c>
      <c r="Q8" s="14">
        <f>SUM(O8,P8)</f>
        <v>18.45</v>
      </c>
      <c r="U8" s="406" t="s">
        <v>626</v>
      </c>
      <c r="V8" s="408">
        <v>1096</v>
      </c>
      <c r="W8" s="399" t="s">
        <v>650</v>
      </c>
      <c r="X8" s="401">
        <f>C9</f>
        <v>0</v>
      </c>
      <c r="Y8" s="402">
        <f t="shared" ref="Y8:Y56" si="0">SUMPRODUCT((X$7:X$56&gt;X8)/COUNTIF(X$7:X$56,X$7:X$56&amp;""))+1</f>
        <v>19</v>
      </c>
      <c r="Z8" s="401">
        <f>D9</f>
        <v>0</v>
      </c>
      <c r="AA8" s="402">
        <f t="shared" ref="AA8:AA56" si="1">SUMPRODUCT((Z$7:Z$56&gt;Z8)/COUNTIF(Z$7:Z$56,Z$7:Z$56&amp;""))+1</f>
        <v>21.999999999999989</v>
      </c>
      <c r="AB8" s="403">
        <f>Table3515505713182931[[#This Row],[Floor4]]+Table3515505713182931[[#This Row],[Vault6]]</f>
        <v>0</v>
      </c>
      <c r="AC8" s="402">
        <f t="shared" ref="AC8:AC56" si="2">SUMPRODUCT((AB$7:AB$56&gt;AB8)/COUNTIF(AB$7:AB$56,AB$7:AB$56&amp;""))+1</f>
        <v>31</v>
      </c>
    </row>
    <row r="9" spans="1:62">
      <c r="A9" s="408">
        <v>1096</v>
      </c>
      <c r="B9" s="410" t="s">
        <v>650</v>
      </c>
      <c r="C9" s="401">
        <v>0</v>
      </c>
      <c r="D9" s="401">
        <v>0</v>
      </c>
      <c r="E9" s="401">
        <f t="shared" ref="E9:E13" si="3">SUM(C9,D9)</f>
        <v>0</v>
      </c>
      <c r="F9" s="8"/>
      <c r="G9" s="150">
        <v>1102</v>
      </c>
      <c r="H9" s="95" t="s">
        <v>35</v>
      </c>
      <c r="I9" s="14">
        <v>8.3000000000000007</v>
      </c>
      <c r="J9" s="14">
        <v>9.1</v>
      </c>
      <c r="K9" s="14">
        <f t="shared" ref="K9:K13" si="4">SUM(I9,J9)</f>
        <v>17.399999999999999</v>
      </c>
      <c r="L9" s="8"/>
      <c r="M9" s="408">
        <v>1114</v>
      </c>
      <c r="N9" s="410" t="s">
        <v>750</v>
      </c>
      <c r="O9" s="401">
        <v>0</v>
      </c>
      <c r="P9" s="401">
        <v>0</v>
      </c>
      <c r="Q9" s="401">
        <f t="shared" ref="Q9:Q13" si="5">SUM(O9,P9)</f>
        <v>0</v>
      </c>
      <c r="U9" s="16" t="s">
        <v>626</v>
      </c>
      <c r="V9" s="150">
        <v>1097</v>
      </c>
      <c r="W9" s="93" t="s">
        <v>622</v>
      </c>
      <c r="X9" s="14">
        <f t="shared" ref="X9:X11" si="6">C10</f>
        <v>8</v>
      </c>
      <c r="Y9" s="283">
        <f t="shared" si="0"/>
        <v>18</v>
      </c>
      <c r="Z9" s="14">
        <f t="shared" ref="Z9:Z11" si="7">D10</f>
        <v>9.3000000000000007</v>
      </c>
      <c r="AA9" s="283">
        <f t="shared" si="1"/>
        <v>3</v>
      </c>
      <c r="AB9" s="69">
        <f>Table3515505713182931[[#This Row],[Floor4]]+Table3515505713182931[[#This Row],[Vault6]]</f>
        <v>17.3</v>
      </c>
      <c r="AC9" s="283">
        <f t="shared" si="2"/>
        <v>24</v>
      </c>
    </row>
    <row r="10" spans="1:62">
      <c r="A10" s="150">
        <v>1097</v>
      </c>
      <c r="B10" s="95" t="s">
        <v>622</v>
      </c>
      <c r="C10" s="14">
        <v>8</v>
      </c>
      <c r="D10" s="14">
        <v>9.3000000000000007</v>
      </c>
      <c r="E10" s="14">
        <f t="shared" si="3"/>
        <v>17.3</v>
      </c>
      <c r="F10" s="8"/>
      <c r="G10" s="150">
        <v>1103</v>
      </c>
      <c r="H10" s="95" t="s">
        <v>56</v>
      </c>
      <c r="I10" s="14">
        <v>8.9</v>
      </c>
      <c r="J10" s="14">
        <v>9.15</v>
      </c>
      <c r="K10" s="14">
        <f t="shared" si="4"/>
        <v>18.05</v>
      </c>
      <c r="L10" s="8"/>
      <c r="M10" s="150">
        <v>1115</v>
      </c>
      <c r="N10" s="95" t="s">
        <v>299</v>
      </c>
      <c r="O10" s="14">
        <v>9.5</v>
      </c>
      <c r="P10" s="14">
        <v>8.8000000000000007</v>
      </c>
      <c r="Q10" s="14">
        <f t="shared" si="5"/>
        <v>18.3</v>
      </c>
      <c r="U10" s="16" t="s">
        <v>626</v>
      </c>
      <c r="V10" s="150">
        <v>1098</v>
      </c>
      <c r="W10" s="93" t="s">
        <v>623</v>
      </c>
      <c r="X10" s="14">
        <f>C11</f>
        <v>8.9</v>
      </c>
      <c r="Y10" s="283">
        <f t="shared" si="0"/>
        <v>10</v>
      </c>
      <c r="Z10" s="14">
        <f>D11</f>
        <v>9.1999999999999993</v>
      </c>
      <c r="AA10" s="283">
        <f t="shared" si="1"/>
        <v>5</v>
      </c>
      <c r="AB10" s="69">
        <f>Table3515505713182931[[#This Row],[Floor4]]+Table3515505713182931[[#This Row],[Vault6]]</f>
        <v>18.100000000000001</v>
      </c>
      <c r="AC10" s="283">
        <f t="shared" si="2"/>
        <v>15</v>
      </c>
    </row>
    <row r="11" spans="1:62">
      <c r="A11" s="150">
        <v>1098</v>
      </c>
      <c r="B11" s="95" t="s">
        <v>623</v>
      </c>
      <c r="C11" s="14">
        <v>8.9</v>
      </c>
      <c r="D11" s="14">
        <v>9.1999999999999993</v>
      </c>
      <c r="E11" s="14">
        <f t="shared" si="3"/>
        <v>18.100000000000001</v>
      </c>
      <c r="F11" s="8"/>
      <c r="G11" s="408">
        <v>1104</v>
      </c>
      <c r="H11" s="439" t="s">
        <v>53</v>
      </c>
      <c r="I11" s="401">
        <v>0</v>
      </c>
      <c r="J11" s="401">
        <v>0</v>
      </c>
      <c r="K11" s="401">
        <f t="shared" si="4"/>
        <v>0</v>
      </c>
      <c r="L11" s="8"/>
      <c r="M11" s="150">
        <v>1116</v>
      </c>
      <c r="N11" s="95" t="s">
        <v>300</v>
      </c>
      <c r="O11" s="14">
        <v>9.6999999999999993</v>
      </c>
      <c r="P11" s="14">
        <v>8.15</v>
      </c>
      <c r="Q11" s="14">
        <f t="shared" si="5"/>
        <v>17.850000000000001</v>
      </c>
      <c r="U11" s="16" t="s">
        <v>626</v>
      </c>
      <c r="V11" s="150">
        <v>1099</v>
      </c>
      <c r="W11" s="93" t="s">
        <v>624</v>
      </c>
      <c r="X11" s="14">
        <f t="shared" si="6"/>
        <v>8.4</v>
      </c>
      <c r="Y11" s="283">
        <f t="shared" si="0"/>
        <v>15</v>
      </c>
      <c r="Z11" s="14">
        <f t="shared" si="7"/>
        <v>9.5</v>
      </c>
      <c r="AA11" s="283">
        <f t="shared" si="1"/>
        <v>1</v>
      </c>
      <c r="AB11" s="69">
        <f>Table3515505713182931[[#This Row],[Floor4]]+Table3515505713182931[[#This Row],[Vault6]]</f>
        <v>17.899999999999999</v>
      </c>
      <c r="AC11" s="283">
        <f t="shared" si="2"/>
        <v>19</v>
      </c>
    </row>
    <row r="12" spans="1:62">
      <c r="A12" s="150">
        <v>1099</v>
      </c>
      <c r="B12" s="95" t="s">
        <v>624</v>
      </c>
      <c r="C12" s="14">
        <v>8.4</v>
      </c>
      <c r="D12" s="14">
        <v>9.5</v>
      </c>
      <c r="E12" s="14">
        <f t="shared" si="3"/>
        <v>17.899999999999999</v>
      </c>
      <c r="F12" s="8"/>
      <c r="G12" s="150">
        <v>1105</v>
      </c>
      <c r="H12" s="95" t="s">
        <v>55</v>
      </c>
      <c r="I12" s="14">
        <v>9.5</v>
      </c>
      <c r="J12" s="14">
        <v>9.1999999999999993</v>
      </c>
      <c r="K12" s="14">
        <f t="shared" si="4"/>
        <v>18.7</v>
      </c>
      <c r="L12" s="8"/>
      <c r="M12" s="150">
        <v>1117</v>
      </c>
      <c r="N12" s="108" t="s">
        <v>751</v>
      </c>
      <c r="O12" s="14">
        <v>8.6</v>
      </c>
      <c r="P12" s="14">
        <v>8.0500000000000007</v>
      </c>
      <c r="Q12" s="14">
        <f t="shared" si="5"/>
        <v>16.649999999999999</v>
      </c>
      <c r="U12" s="16" t="s">
        <v>706</v>
      </c>
      <c r="V12" s="150">
        <v>1101</v>
      </c>
      <c r="W12" s="93" t="s">
        <v>707</v>
      </c>
      <c r="X12" s="14">
        <f>I8</f>
        <v>8.9</v>
      </c>
      <c r="Y12" s="283">
        <f t="shared" si="0"/>
        <v>10</v>
      </c>
      <c r="Z12" s="14">
        <f>J8</f>
        <v>9.25</v>
      </c>
      <c r="AA12" s="283">
        <f t="shared" si="1"/>
        <v>4</v>
      </c>
      <c r="AB12" s="69">
        <f>Table3515505713182931[[#This Row],[Floor4]]+Table3515505713182931[[#This Row],[Vault6]]</f>
        <v>18.149999999999999</v>
      </c>
      <c r="AC12" s="283">
        <f t="shared" si="2"/>
        <v>14</v>
      </c>
    </row>
    <row r="13" spans="1:62" ht="16.5" thickBot="1">
      <c r="A13" s="150">
        <v>1100</v>
      </c>
      <c r="B13" s="359"/>
      <c r="C13" s="14">
        <v>0</v>
      </c>
      <c r="D13" s="14">
        <v>0</v>
      </c>
      <c r="E13" s="14">
        <f t="shared" si="3"/>
        <v>0</v>
      </c>
      <c r="F13" s="8"/>
      <c r="G13" s="150">
        <v>1106</v>
      </c>
      <c r="H13" s="95" t="s">
        <v>278</v>
      </c>
      <c r="I13" s="14">
        <v>8.1</v>
      </c>
      <c r="J13" s="14">
        <v>9.3000000000000007</v>
      </c>
      <c r="K13" s="14">
        <f t="shared" si="4"/>
        <v>17.399999999999999</v>
      </c>
      <c r="L13" s="8"/>
      <c r="M13" s="150">
        <v>1118</v>
      </c>
      <c r="N13" s="359"/>
      <c r="O13" s="14">
        <v>0</v>
      </c>
      <c r="P13" s="14">
        <v>0</v>
      </c>
      <c r="Q13" s="14">
        <f t="shared" si="5"/>
        <v>0</v>
      </c>
      <c r="U13" s="16" t="s">
        <v>706</v>
      </c>
      <c r="V13" s="150">
        <v>1102</v>
      </c>
      <c r="W13" s="93" t="s">
        <v>35</v>
      </c>
      <c r="X13" s="14">
        <f t="shared" ref="X13:X14" si="8">I9</f>
        <v>8.3000000000000007</v>
      </c>
      <c r="Y13" s="283">
        <f t="shared" si="0"/>
        <v>16</v>
      </c>
      <c r="Z13" s="14">
        <f t="shared" ref="Z13:Z15" si="9">J9</f>
        <v>9.1</v>
      </c>
      <c r="AA13" s="283">
        <f t="shared" si="1"/>
        <v>7.0000000000000009</v>
      </c>
      <c r="AB13" s="69">
        <f>Table3515505713182931[[#This Row],[Floor4]]+Table3515505713182931[[#This Row],[Vault6]]</f>
        <v>17.399999999999999</v>
      </c>
      <c r="AC13" s="283">
        <f t="shared" si="2"/>
        <v>22</v>
      </c>
    </row>
    <row r="14" spans="1:62" ht="16.5" thickBot="1">
      <c r="A14" s="8"/>
      <c r="B14" s="18" t="s">
        <v>10</v>
      </c>
      <c r="C14" s="19">
        <f>SUM(C8:C13)-SMALL(C8:C13,1)-SMALL(C8:C13,2)</f>
        <v>25.299999999999997</v>
      </c>
      <c r="D14" s="19">
        <f>SUM(D8:D13)-SMALL(D8:D13,1)-SMALL(D8:D13,2)</f>
        <v>28</v>
      </c>
      <c r="E14" s="20">
        <f>SUM(C14:D14)</f>
        <v>53.3</v>
      </c>
      <c r="F14" s="8"/>
      <c r="G14" s="8"/>
      <c r="H14" s="18" t="s">
        <v>10</v>
      </c>
      <c r="I14" s="19">
        <f>SUM(I8:I13)-SMALL(I8:I13,1)-SMALL(I8:I13,2)</f>
        <v>35.6</v>
      </c>
      <c r="J14" s="19">
        <f>SUM(J8:J13)-SMALL(J8:J13,1)-SMALL(J8:J13,2)</f>
        <v>36.9</v>
      </c>
      <c r="K14" s="20">
        <f>SUM(I14:J14)</f>
        <v>72.5</v>
      </c>
      <c r="L14" s="8"/>
      <c r="M14" s="8"/>
      <c r="N14" s="18" t="s">
        <v>10</v>
      </c>
      <c r="O14" s="19">
        <f>SUM(O8:O13)-SMALL(O8:O13,1)-SMALL(O8:O13,2)</f>
        <v>37.4</v>
      </c>
      <c r="P14" s="19">
        <f>SUM(P8:P13)-SMALL(P8:P13,1)-SMALL(P8:P13,2)</f>
        <v>33.849999999999994</v>
      </c>
      <c r="Q14" s="20">
        <f>SUM(O14:P14)</f>
        <v>71.25</v>
      </c>
      <c r="U14" s="16" t="s">
        <v>706</v>
      </c>
      <c r="V14" s="150">
        <v>1103</v>
      </c>
      <c r="W14" s="93" t="s">
        <v>56</v>
      </c>
      <c r="X14" s="14">
        <f t="shared" si="8"/>
        <v>8.9</v>
      </c>
      <c r="Y14" s="283">
        <f t="shared" si="0"/>
        <v>10</v>
      </c>
      <c r="Z14" s="14">
        <f>J10</f>
        <v>9.15</v>
      </c>
      <c r="AA14" s="283">
        <f t="shared" si="1"/>
        <v>6.0000000000000009</v>
      </c>
      <c r="AB14" s="69">
        <f>Table3515505713182931[[#This Row],[Floor4]]+Table3515505713182931[[#This Row],[Vault6]]</f>
        <v>18.05</v>
      </c>
      <c r="AC14" s="283">
        <f t="shared" si="2"/>
        <v>16</v>
      </c>
    </row>
    <row r="15" spans="1:62">
      <c r="A15" s="8"/>
      <c r="B15" s="21" t="s">
        <v>37</v>
      </c>
      <c r="C15" s="8"/>
      <c r="D15" s="18"/>
      <c r="E15" s="22"/>
      <c r="F15" s="8"/>
      <c r="G15" s="8"/>
      <c r="H15" s="21" t="s">
        <v>37</v>
      </c>
      <c r="I15" s="8"/>
      <c r="J15" s="18"/>
      <c r="K15" s="22"/>
      <c r="L15" s="8"/>
      <c r="M15" s="8"/>
      <c r="N15" s="360" t="s">
        <v>37</v>
      </c>
      <c r="O15" s="8"/>
      <c r="P15" s="18"/>
      <c r="Q15" s="22"/>
      <c r="U15" s="406" t="s">
        <v>706</v>
      </c>
      <c r="V15" s="408">
        <v>1104</v>
      </c>
      <c r="W15" s="436" t="s">
        <v>53</v>
      </c>
      <c r="X15" s="401">
        <f>I11</f>
        <v>0</v>
      </c>
      <c r="Y15" s="402">
        <f t="shared" si="0"/>
        <v>19</v>
      </c>
      <c r="Z15" s="401">
        <f t="shared" si="9"/>
        <v>0</v>
      </c>
      <c r="AA15" s="402">
        <f t="shared" si="1"/>
        <v>21.999999999999989</v>
      </c>
      <c r="AB15" s="403">
        <f>Table3515505713182931[[#This Row],[Floor4]]+Table3515505713182931[[#This Row],[Vault6]]</f>
        <v>0</v>
      </c>
      <c r="AC15" s="402">
        <f t="shared" si="2"/>
        <v>31</v>
      </c>
    </row>
    <row r="16" spans="1:6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U16" s="16" t="s">
        <v>706</v>
      </c>
      <c r="V16" s="150">
        <v>1106</v>
      </c>
      <c r="W16" s="93" t="s">
        <v>278</v>
      </c>
      <c r="X16" s="14">
        <f>I13</f>
        <v>8.1</v>
      </c>
      <c r="Y16" s="283">
        <f t="shared" si="0"/>
        <v>17</v>
      </c>
      <c r="Z16" s="14">
        <f>J13</f>
        <v>9.3000000000000007</v>
      </c>
      <c r="AA16" s="283">
        <f t="shared" si="1"/>
        <v>3</v>
      </c>
      <c r="AB16" s="69">
        <f>Table3515505713182931[[#This Row],[Floor4]]+Table3515505713182931[[#This Row],[Vault6]]</f>
        <v>17.399999999999999</v>
      </c>
      <c r="AC16" s="283">
        <f t="shared" si="2"/>
        <v>22</v>
      </c>
    </row>
    <row r="17" spans="1:29">
      <c r="A17" s="348" t="s">
        <v>157</v>
      </c>
      <c r="B17" s="349"/>
      <c r="C17" s="349"/>
      <c r="D17" s="349"/>
      <c r="E17" s="350"/>
      <c r="F17" s="267"/>
      <c r="G17" s="348" t="s">
        <v>555</v>
      </c>
      <c r="H17" s="349"/>
      <c r="I17" s="349"/>
      <c r="J17" s="349"/>
      <c r="K17" s="350"/>
      <c r="L17" s="8"/>
      <c r="M17" s="348" t="s">
        <v>1189</v>
      </c>
      <c r="N17" s="349"/>
      <c r="O17" s="349"/>
      <c r="P17" s="349"/>
      <c r="Q17" s="350"/>
      <c r="U17" s="16" t="s">
        <v>706</v>
      </c>
      <c r="V17" s="150">
        <v>1105</v>
      </c>
      <c r="W17" s="93" t="s">
        <v>55</v>
      </c>
      <c r="X17" s="14">
        <f>I12</f>
        <v>9.5</v>
      </c>
      <c r="Y17" s="283">
        <f t="shared" si="0"/>
        <v>6</v>
      </c>
      <c r="Z17" s="14">
        <f>J12</f>
        <v>9.1999999999999993</v>
      </c>
      <c r="AA17" s="283">
        <f t="shared" si="1"/>
        <v>5</v>
      </c>
      <c r="AB17" s="69">
        <f>Table3515505713182931[[#This Row],[Floor4]]+Table3515505713182931[[#This Row],[Vault6]]</f>
        <v>18.7</v>
      </c>
      <c r="AC17" s="283">
        <f t="shared" si="2"/>
        <v>7</v>
      </c>
    </row>
    <row r="18" spans="1:29">
      <c r="A18" s="354" t="s">
        <v>1</v>
      </c>
      <c r="B18" s="354" t="s">
        <v>2</v>
      </c>
      <c r="C18" s="354" t="s">
        <v>3</v>
      </c>
      <c r="D18" s="354" t="s">
        <v>4</v>
      </c>
      <c r="E18" s="354" t="s">
        <v>5</v>
      </c>
      <c r="F18" s="267"/>
      <c r="G18" s="354" t="s">
        <v>1</v>
      </c>
      <c r="H18" s="354" t="s">
        <v>2</v>
      </c>
      <c r="I18" s="354" t="s">
        <v>3</v>
      </c>
      <c r="J18" s="354" t="s">
        <v>4</v>
      </c>
      <c r="K18" s="354" t="s">
        <v>5</v>
      </c>
      <c r="L18" s="8"/>
      <c r="M18" s="354" t="s">
        <v>1</v>
      </c>
      <c r="N18" s="354" t="s">
        <v>2</v>
      </c>
      <c r="O18" s="354" t="s">
        <v>3</v>
      </c>
      <c r="P18" s="354" t="s">
        <v>4</v>
      </c>
      <c r="Q18" s="354" t="s">
        <v>5</v>
      </c>
      <c r="U18" s="16" t="s">
        <v>301</v>
      </c>
      <c r="V18" s="150">
        <v>1113</v>
      </c>
      <c r="W18" s="93" t="s">
        <v>302</v>
      </c>
      <c r="X18" s="14">
        <f>O8</f>
        <v>9.6</v>
      </c>
      <c r="Y18" s="283">
        <f t="shared" si="0"/>
        <v>5</v>
      </c>
      <c r="Z18" s="14">
        <f>P8</f>
        <v>8.85</v>
      </c>
      <c r="AA18" s="283">
        <f t="shared" si="1"/>
        <v>12.000000000000002</v>
      </c>
      <c r="AB18" s="69">
        <f>Table3515505713182931[[#This Row],[Floor4]]+Table3515505713182931[[#This Row],[Vault6]]</f>
        <v>18.45</v>
      </c>
      <c r="AC18" s="283">
        <f t="shared" si="2"/>
        <v>10</v>
      </c>
    </row>
    <row r="19" spans="1:29">
      <c r="A19" s="150">
        <v>1119</v>
      </c>
      <c r="B19" s="95" t="s">
        <v>61</v>
      </c>
      <c r="C19" s="14">
        <v>9.8000000000000007</v>
      </c>
      <c r="D19" s="14">
        <v>8.9499999999999993</v>
      </c>
      <c r="E19" s="14">
        <f>SUM(C19,D19)</f>
        <v>18.75</v>
      </c>
      <c r="F19" s="267"/>
      <c r="G19" s="150">
        <v>1125</v>
      </c>
      <c r="H19" s="95" t="s">
        <v>984</v>
      </c>
      <c r="I19" s="14">
        <v>8.8000000000000007</v>
      </c>
      <c r="J19" s="14">
        <v>8.9499999999999993</v>
      </c>
      <c r="K19" s="14">
        <f>SUM(I19,J19)</f>
        <v>17.75</v>
      </c>
      <c r="L19" s="8"/>
      <c r="M19" s="408">
        <v>1131</v>
      </c>
      <c r="N19" s="410" t="s">
        <v>1190</v>
      </c>
      <c r="O19" s="401">
        <v>0</v>
      </c>
      <c r="P19" s="401">
        <v>0</v>
      </c>
      <c r="Q19" s="401">
        <f>SUM(O19,P19)</f>
        <v>0</v>
      </c>
      <c r="U19" s="406" t="s">
        <v>301</v>
      </c>
      <c r="V19" s="408">
        <v>1114</v>
      </c>
      <c r="W19" s="397" t="s">
        <v>750</v>
      </c>
      <c r="X19" s="401">
        <f t="shared" ref="X19:X22" si="10">O9</f>
        <v>0</v>
      </c>
      <c r="Y19" s="402">
        <f t="shared" si="0"/>
        <v>19</v>
      </c>
      <c r="Z19" s="401">
        <f t="shared" ref="Z19:Z22" si="11">P9</f>
        <v>0</v>
      </c>
      <c r="AA19" s="402">
        <f t="shared" si="1"/>
        <v>21.999999999999989</v>
      </c>
      <c r="AB19" s="403">
        <f>Table3515505713182931[[#This Row],[Floor4]]+Table3515505713182931[[#This Row],[Vault6]]</f>
        <v>0</v>
      </c>
      <c r="AC19" s="402">
        <f t="shared" si="2"/>
        <v>31</v>
      </c>
    </row>
    <row r="20" spans="1:29">
      <c r="A20" s="150">
        <v>1120</v>
      </c>
      <c r="B20" s="95" t="s">
        <v>62</v>
      </c>
      <c r="C20" s="14">
        <v>9.8000000000000007</v>
      </c>
      <c r="D20" s="14">
        <v>9.1</v>
      </c>
      <c r="E20" s="14">
        <f t="shared" ref="E20:E24" si="12">SUM(C20,D20)</f>
        <v>18.899999999999999</v>
      </c>
      <c r="F20" s="267"/>
      <c r="G20" s="150">
        <v>1126</v>
      </c>
      <c r="H20" s="95" t="s">
        <v>380</v>
      </c>
      <c r="I20" s="14">
        <v>8.8000000000000007</v>
      </c>
      <c r="J20" s="14">
        <v>8.4</v>
      </c>
      <c r="K20" s="14">
        <f t="shared" ref="K20:K24" si="13">SUM(I20,J20)</f>
        <v>17.200000000000003</v>
      </c>
      <c r="L20" s="8"/>
      <c r="M20" s="150">
        <v>1132</v>
      </c>
      <c r="N20" s="95" t="s">
        <v>185</v>
      </c>
      <c r="O20" s="14">
        <v>9</v>
      </c>
      <c r="P20" s="14">
        <v>9.1999999999999993</v>
      </c>
      <c r="Q20" s="14">
        <f t="shared" ref="Q20:Q24" si="14">SUM(O20,P20)</f>
        <v>18.2</v>
      </c>
      <c r="U20" s="16" t="s">
        <v>301</v>
      </c>
      <c r="V20" s="150">
        <v>1115</v>
      </c>
      <c r="W20" s="93" t="s">
        <v>299</v>
      </c>
      <c r="X20" s="14">
        <f t="shared" si="10"/>
        <v>9.5</v>
      </c>
      <c r="Y20" s="283">
        <f t="shared" si="0"/>
        <v>6</v>
      </c>
      <c r="Z20" s="14">
        <f t="shared" si="11"/>
        <v>8.8000000000000007</v>
      </c>
      <c r="AA20" s="283">
        <f t="shared" si="1"/>
        <v>13</v>
      </c>
      <c r="AB20" s="69">
        <f>Table3515505713182931[[#This Row],[Floor4]]+Table3515505713182931[[#This Row],[Vault6]]</f>
        <v>18.3</v>
      </c>
      <c r="AC20" s="283">
        <f t="shared" si="2"/>
        <v>12</v>
      </c>
    </row>
    <row r="21" spans="1:29">
      <c r="A21" s="150">
        <v>1121</v>
      </c>
      <c r="B21" s="95" t="s">
        <v>63</v>
      </c>
      <c r="C21" s="14">
        <v>9.5</v>
      </c>
      <c r="D21" s="14">
        <v>8.6</v>
      </c>
      <c r="E21" s="14">
        <f t="shared" si="12"/>
        <v>18.100000000000001</v>
      </c>
      <c r="F21" s="267"/>
      <c r="G21" s="150">
        <v>1127</v>
      </c>
      <c r="H21" s="95" t="s">
        <v>379</v>
      </c>
      <c r="I21" s="14">
        <v>9</v>
      </c>
      <c r="J21" s="14">
        <v>9.15</v>
      </c>
      <c r="K21" s="14">
        <f t="shared" si="13"/>
        <v>18.149999999999999</v>
      </c>
      <c r="L21" s="8"/>
      <c r="M21" s="150">
        <v>1133</v>
      </c>
      <c r="N21" s="95" t="s">
        <v>184</v>
      </c>
      <c r="O21" s="14">
        <v>9.4</v>
      </c>
      <c r="P21" s="14">
        <v>8.9499999999999993</v>
      </c>
      <c r="Q21" s="14">
        <f t="shared" si="14"/>
        <v>18.350000000000001</v>
      </c>
      <c r="U21" s="16" t="s">
        <v>301</v>
      </c>
      <c r="V21" s="150">
        <v>1116</v>
      </c>
      <c r="W21" s="93" t="s">
        <v>300</v>
      </c>
      <c r="X21" s="14">
        <f>O11</f>
        <v>9.6999999999999993</v>
      </c>
      <c r="Y21" s="283">
        <f t="shared" si="0"/>
        <v>4</v>
      </c>
      <c r="Z21" s="14">
        <f>P11</f>
        <v>8.15</v>
      </c>
      <c r="AA21" s="283">
        <f t="shared" si="1"/>
        <v>18.999999999999993</v>
      </c>
      <c r="AB21" s="69">
        <f>Table3515505713182931[[#This Row],[Floor4]]+Table3515505713182931[[#This Row],[Vault6]]</f>
        <v>17.850000000000001</v>
      </c>
      <c r="AC21" s="283">
        <f t="shared" si="2"/>
        <v>20</v>
      </c>
    </row>
    <row r="22" spans="1:29">
      <c r="A22" s="150">
        <v>1122</v>
      </c>
      <c r="B22" s="95" t="s">
        <v>65</v>
      </c>
      <c r="C22" s="14">
        <v>8.9</v>
      </c>
      <c r="D22" s="14">
        <v>8.9499999999999993</v>
      </c>
      <c r="E22" s="14">
        <f t="shared" si="12"/>
        <v>17.850000000000001</v>
      </c>
      <c r="F22" s="267"/>
      <c r="G22" s="150">
        <v>1128</v>
      </c>
      <c r="H22" s="95" t="s">
        <v>455</v>
      </c>
      <c r="I22" s="14">
        <v>8.5</v>
      </c>
      <c r="J22" s="14">
        <v>8.0500000000000007</v>
      </c>
      <c r="K22" s="14">
        <f t="shared" si="13"/>
        <v>16.55</v>
      </c>
      <c r="L22" s="8"/>
      <c r="M22" s="150">
        <v>1134</v>
      </c>
      <c r="N22" s="95" t="s">
        <v>1191</v>
      </c>
      <c r="O22" s="14">
        <v>9.4</v>
      </c>
      <c r="P22" s="14">
        <v>8.6</v>
      </c>
      <c r="Q22" s="14">
        <f t="shared" si="14"/>
        <v>18</v>
      </c>
      <c r="U22" s="16" t="s">
        <v>301</v>
      </c>
      <c r="V22" s="150">
        <v>1117</v>
      </c>
      <c r="W22" s="100" t="s">
        <v>751</v>
      </c>
      <c r="X22" s="14">
        <f t="shared" si="10"/>
        <v>8.6</v>
      </c>
      <c r="Y22" s="283">
        <f t="shared" si="0"/>
        <v>12.999999999999998</v>
      </c>
      <c r="Z22" s="14">
        <f t="shared" si="11"/>
        <v>8.0500000000000007</v>
      </c>
      <c r="AA22" s="283">
        <f t="shared" si="1"/>
        <v>19.999999999999993</v>
      </c>
      <c r="AB22" s="69">
        <f>Table3515505713182931[[#This Row],[Floor4]]+Table3515505713182931[[#This Row],[Vault6]]</f>
        <v>16.649999999999999</v>
      </c>
      <c r="AC22" s="283">
        <f t="shared" si="2"/>
        <v>29</v>
      </c>
    </row>
    <row r="23" spans="1:29">
      <c r="A23" s="150">
        <v>1123</v>
      </c>
      <c r="B23" s="95" t="s">
        <v>67</v>
      </c>
      <c r="C23" s="14">
        <v>9.1999999999999993</v>
      </c>
      <c r="D23" s="14">
        <v>8.85</v>
      </c>
      <c r="E23" s="14">
        <f t="shared" si="12"/>
        <v>18.049999999999997</v>
      </c>
      <c r="F23" s="267"/>
      <c r="G23" s="150">
        <v>1129</v>
      </c>
      <c r="H23" s="359"/>
      <c r="I23" s="14">
        <v>0</v>
      </c>
      <c r="J23" s="14">
        <v>0</v>
      </c>
      <c r="K23" s="14">
        <f t="shared" si="13"/>
        <v>0</v>
      </c>
      <c r="L23" s="8"/>
      <c r="M23" s="150">
        <v>1135</v>
      </c>
      <c r="N23" s="108" t="s">
        <v>183</v>
      </c>
      <c r="O23" s="14">
        <v>9</v>
      </c>
      <c r="P23" s="14">
        <v>8.9</v>
      </c>
      <c r="Q23" s="14">
        <f t="shared" si="14"/>
        <v>17.899999999999999</v>
      </c>
      <c r="U23" s="16" t="s">
        <v>222</v>
      </c>
      <c r="V23" s="150">
        <v>1119</v>
      </c>
      <c r="W23" s="93" t="s">
        <v>61</v>
      </c>
      <c r="X23" s="14">
        <f>C19</f>
        <v>9.8000000000000007</v>
      </c>
      <c r="Y23" s="283">
        <f t="shared" si="0"/>
        <v>3</v>
      </c>
      <c r="Z23" s="14">
        <f>D19</f>
        <v>8.9499999999999993</v>
      </c>
      <c r="AA23" s="283">
        <f t="shared" si="1"/>
        <v>10</v>
      </c>
      <c r="AB23" s="69">
        <f>Table3515505713182931[[#This Row],[Floor4]]+Table3515505713182931[[#This Row],[Vault6]]</f>
        <v>18.75</v>
      </c>
      <c r="AC23" s="283">
        <f t="shared" si="2"/>
        <v>6</v>
      </c>
    </row>
    <row r="24" spans="1:29" ht="16.5" thickBot="1">
      <c r="A24" s="150">
        <v>1124</v>
      </c>
      <c r="B24" s="108" t="s">
        <v>66</v>
      </c>
      <c r="C24" s="14">
        <v>9.8000000000000007</v>
      </c>
      <c r="D24" s="14">
        <v>8.5500000000000007</v>
      </c>
      <c r="E24" s="14">
        <f t="shared" si="12"/>
        <v>18.350000000000001</v>
      </c>
      <c r="F24" s="267"/>
      <c r="G24" s="150">
        <v>1130</v>
      </c>
      <c r="H24" s="359"/>
      <c r="I24" s="14">
        <v>0</v>
      </c>
      <c r="J24" s="14">
        <v>0</v>
      </c>
      <c r="K24" s="14">
        <f t="shared" si="13"/>
        <v>0</v>
      </c>
      <c r="L24" s="8"/>
      <c r="M24" s="150">
        <v>1136</v>
      </c>
      <c r="N24" s="359"/>
      <c r="O24" s="14">
        <v>0</v>
      </c>
      <c r="P24" s="14">
        <v>0</v>
      </c>
      <c r="Q24" s="14">
        <f t="shared" si="14"/>
        <v>0</v>
      </c>
      <c r="U24" s="16" t="s">
        <v>222</v>
      </c>
      <c r="V24" s="150">
        <v>1120</v>
      </c>
      <c r="W24" s="93" t="s">
        <v>62</v>
      </c>
      <c r="X24" s="14">
        <f t="shared" ref="X24:X28" si="15">C20</f>
        <v>9.8000000000000007</v>
      </c>
      <c r="Y24" s="283">
        <f t="shared" si="0"/>
        <v>3</v>
      </c>
      <c r="Z24" s="14">
        <f t="shared" ref="Z24:Z28" si="16">D20</f>
        <v>9.1</v>
      </c>
      <c r="AA24" s="283">
        <f t="shared" si="1"/>
        <v>7.0000000000000009</v>
      </c>
      <c r="AB24" s="69">
        <f>Table3515505713182931[[#This Row],[Floor4]]+Table3515505713182931[[#This Row],[Vault6]]</f>
        <v>18.899999999999999</v>
      </c>
      <c r="AC24" s="283">
        <f t="shared" si="2"/>
        <v>4</v>
      </c>
    </row>
    <row r="25" spans="1:29" ht="16.5" thickBot="1">
      <c r="A25" s="8"/>
      <c r="B25" s="18" t="s">
        <v>10</v>
      </c>
      <c r="C25" s="19">
        <f>SUM(C19:C24)-SMALL(C19:C24,1)-SMALL(C19:C24,2)</f>
        <v>38.900000000000006</v>
      </c>
      <c r="D25" s="19">
        <f>SUM(D19:D24)-SMALL(D19:D24,1)-SMALL(D19:D24,2)</f>
        <v>35.85</v>
      </c>
      <c r="E25" s="20">
        <f>SUM(C25:D25)</f>
        <v>74.75</v>
      </c>
      <c r="F25" s="267"/>
      <c r="G25" s="8"/>
      <c r="H25" s="18" t="s">
        <v>10</v>
      </c>
      <c r="I25" s="19">
        <f>SUM(I19:I24)-SMALL(I19:I24,1)-SMALL(I19:I24,2)</f>
        <v>35.1</v>
      </c>
      <c r="J25" s="19">
        <f>SUM(J19:J24)-SMALL(J19:J24,1)-SMALL(J19:J24,2)</f>
        <v>34.549999999999997</v>
      </c>
      <c r="K25" s="20">
        <f>SUM(I25:J25)</f>
        <v>69.650000000000006</v>
      </c>
      <c r="L25" s="8"/>
      <c r="M25" s="8"/>
      <c r="N25" s="18" t="s">
        <v>10</v>
      </c>
      <c r="O25" s="19">
        <f>SUM(O19:O24)-SMALL(O19:O24,1)-SMALL(O19:O24,2)</f>
        <v>36.799999999999997</v>
      </c>
      <c r="P25" s="19">
        <f>SUM(P19:P24)-SMALL(P19:P24,1)-SMALL(P19:P24,2)</f>
        <v>35.65</v>
      </c>
      <c r="Q25" s="20">
        <f>SUM(O25:P25)</f>
        <v>72.449999999999989</v>
      </c>
      <c r="U25" s="16" t="s">
        <v>222</v>
      </c>
      <c r="V25" s="150">
        <v>1121</v>
      </c>
      <c r="W25" s="93" t="s">
        <v>63</v>
      </c>
      <c r="X25" s="14">
        <f t="shared" si="15"/>
        <v>9.5</v>
      </c>
      <c r="Y25" s="283">
        <f t="shared" si="0"/>
        <v>6</v>
      </c>
      <c r="Z25" s="14">
        <f t="shared" si="16"/>
        <v>8.6</v>
      </c>
      <c r="AA25" s="283">
        <f t="shared" si="1"/>
        <v>15</v>
      </c>
      <c r="AB25" s="69">
        <f>Table3515505713182931[[#This Row],[Floor4]]+Table3515505713182931[[#This Row],[Vault6]]</f>
        <v>18.100000000000001</v>
      </c>
      <c r="AC25" s="283">
        <f t="shared" si="2"/>
        <v>15</v>
      </c>
    </row>
    <row r="26" spans="1:29">
      <c r="A26" s="267"/>
      <c r="B26" s="360" t="s">
        <v>37</v>
      </c>
      <c r="C26" s="267"/>
      <c r="D26" s="84"/>
      <c r="E26" s="85"/>
      <c r="F26" s="267"/>
      <c r="G26" s="267"/>
      <c r="H26" s="360" t="s">
        <v>37</v>
      </c>
      <c r="I26" s="267"/>
      <c r="J26" s="84"/>
      <c r="K26" s="85"/>
      <c r="L26" s="8"/>
      <c r="M26" s="8"/>
      <c r="N26" s="360" t="s">
        <v>37</v>
      </c>
      <c r="O26" s="8"/>
      <c r="P26" s="18"/>
      <c r="Q26" s="22"/>
      <c r="U26" s="16" t="s">
        <v>222</v>
      </c>
      <c r="V26" s="150">
        <v>1122</v>
      </c>
      <c r="W26" s="93" t="s">
        <v>65</v>
      </c>
      <c r="X26" s="14">
        <f t="shared" si="15"/>
        <v>8.9</v>
      </c>
      <c r="Y26" s="283">
        <f t="shared" si="0"/>
        <v>10</v>
      </c>
      <c r="Z26" s="14">
        <f>D22</f>
        <v>8.9499999999999993</v>
      </c>
      <c r="AA26" s="283">
        <f t="shared" si="1"/>
        <v>10</v>
      </c>
      <c r="AB26" s="69">
        <f>Table3515505713182931[[#This Row],[Floor4]]+Table3515505713182931[[#This Row],[Vault6]]</f>
        <v>17.850000000000001</v>
      </c>
      <c r="AC26" s="283">
        <f t="shared" si="2"/>
        <v>20</v>
      </c>
    </row>
    <row r="27" spans="1:29">
      <c r="A27" s="8"/>
      <c r="B27" s="360"/>
      <c r="C27" s="8"/>
      <c r="D27" s="18"/>
      <c r="E27" s="22"/>
      <c r="F27" s="8"/>
      <c r="G27" s="267"/>
      <c r="H27" s="244"/>
      <c r="I27" s="267"/>
      <c r="J27" s="84"/>
      <c r="K27" s="85"/>
      <c r="L27" s="1"/>
      <c r="M27" s="1"/>
      <c r="N27" s="114"/>
      <c r="O27" s="1"/>
      <c r="P27" s="104"/>
      <c r="Q27" s="115"/>
      <c r="U27" s="16" t="s">
        <v>222</v>
      </c>
      <c r="V27" s="150">
        <v>1123</v>
      </c>
      <c r="W27" s="93" t="s">
        <v>67</v>
      </c>
      <c r="X27" s="14">
        <f>C23</f>
        <v>9.1999999999999993</v>
      </c>
      <c r="Y27" s="283">
        <f t="shared" si="0"/>
        <v>8</v>
      </c>
      <c r="Z27" s="14">
        <f t="shared" si="16"/>
        <v>8.85</v>
      </c>
      <c r="AA27" s="283">
        <f t="shared" si="1"/>
        <v>12.000000000000002</v>
      </c>
      <c r="AB27" s="69">
        <f>Table3515505713182931[[#This Row],[Floor4]]+Table3515505713182931[[#This Row],[Vault6]]</f>
        <v>18.049999999999997</v>
      </c>
      <c r="AC27" s="283">
        <f t="shared" si="2"/>
        <v>16</v>
      </c>
    </row>
    <row r="28" spans="1:29">
      <c r="A28" s="348" t="s">
        <v>484</v>
      </c>
      <c r="B28" s="349"/>
      <c r="C28" s="349"/>
      <c r="D28" s="349"/>
      <c r="E28" s="350"/>
      <c r="F28" s="267"/>
      <c r="G28" s="348" t="s">
        <v>1194</v>
      </c>
      <c r="H28" s="349"/>
      <c r="I28" s="349"/>
      <c r="J28" s="349"/>
      <c r="K28" s="350"/>
      <c r="N28" s="94" t="s">
        <v>37</v>
      </c>
      <c r="O28" t="s">
        <v>503</v>
      </c>
      <c r="P28" s="25" t="s">
        <v>504</v>
      </c>
      <c r="U28" s="16" t="s">
        <v>222</v>
      </c>
      <c r="V28" s="150">
        <v>1124</v>
      </c>
      <c r="W28" s="101" t="s">
        <v>66</v>
      </c>
      <c r="X28" s="14">
        <f t="shared" si="15"/>
        <v>9.8000000000000007</v>
      </c>
      <c r="Y28" s="283">
        <f t="shared" si="0"/>
        <v>3</v>
      </c>
      <c r="Z28" s="14">
        <f t="shared" si="16"/>
        <v>8.5500000000000007</v>
      </c>
      <c r="AA28" s="283">
        <f t="shared" si="1"/>
        <v>15.999999999999998</v>
      </c>
      <c r="AB28" s="69">
        <f>Table3515505713182931[[#This Row],[Floor4]]+Table3515505713182931[[#This Row],[Vault6]]</f>
        <v>18.350000000000001</v>
      </c>
      <c r="AC28" s="283">
        <f t="shared" si="2"/>
        <v>11</v>
      </c>
    </row>
    <row r="29" spans="1:29">
      <c r="A29" s="354" t="s">
        <v>1</v>
      </c>
      <c r="B29" s="354" t="s">
        <v>2</v>
      </c>
      <c r="C29" s="354" t="s">
        <v>3</v>
      </c>
      <c r="D29" s="354" t="s">
        <v>4</v>
      </c>
      <c r="E29" s="354" t="s">
        <v>5</v>
      </c>
      <c r="F29" s="267"/>
      <c r="G29" s="354" t="s">
        <v>1</v>
      </c>
      <c r="H29" s="354" t="s">
        <v>2</v>
      </c>
      <c r="I29" s="354" t="s">
        <v>3</v>
      </c>
      <c r="J29" s="354" t="s">
        <v>4</v>
      </c>
      <c r="K29" s="354" t="s">
        <v>5</v>
      </c>
      <c r="N29" s="255" t="s">
        <v>1293</v>
      </c>
      <c r="O29" s="368">
        <f>E14</f>
        <v>53.3</v>
      </c>
      <c r="P29" s="40">
        <f>SUMPRODUCT((O$29:O$36&gt;O29)/COUNTIF(O$29:O$36,O$29:O$36&amp;""))+1</f>
        <v>8</v>
      </c>
      <c r="U29" s="16" t="s">
        <v>983</v>
      </c>
      <c r="V29" s="150">
        <v>1125</v>
      </c>
      <c r="W29" s="93" t="s">
        <v>984</v>
      </c>
      <c r="X29" s="14">
        <f>I19</f>
        <v>8.8000000000000007</v>
      </c>
      <c r="Y29" s="283">
        <f t="shared" si="0"/>
        <v>11.000000000000002</v>
      </c>
      <c r="Z29" s="14">
        <f>J19</f>
        <v>8.9499999999999993</v>
      </c>
      <c r="AA29" s="283">
        <f t="shared" si="1"/>
        <v>10</v>
      </c>
      <c r="AB29" s="69">
        <f>Table3515505713182931[[#This Row],[Floor4]]+Table3515505713182931[[#This Row],[Vault6]]</f>
        <v>17.75</v>
      </c>
      <c r="AC29" s="283">
        <f t="shared" si="2"/>
        <v>21</v>
      </c>
    </row>
    <row r="30" spans="1:29">
      <c r="A30" s="408">
        <v>1137</v>
      </c>
      <c r="B30" s="406" t="s">
        <v>1192</v>
      </c>
      <c r="C30" s="401">
        <v>0</v>
      </c>
      <c r="D30" s="401">
        <v>0</v>
      </c>
      <c r="E30" s="401">
        <f>SUM(C30,D30)</f>
        <v>0</v>
      </c>
      <c r="F30" s="267"/>
      <c r="G30" s="150">
        <v>1143</v>
      </c>
      <c r="H30" s="16" t="s">
        <v>493</v>
      </c>
      <c r="I30" s="14">
        <v>8.6</v>
      </c>
      <c r="J30" s="14">
        <v>8.3000000000000007</v>
      </c>
      <c r="K30" s="14">
        <f>SUM(I30,J30)</f>
        <v>16.899999999999999</v>
      </c>
      <c r="N30" s="256" t="s">
        <v>557</v>
      </c>
      <c r="O30" s="372">
        <f>K14</f>
        <v>72.5</v>
      </c>
      <c r="P30" s="40">
        <f t="shared" ref="P30:P36" si="17">SUMPRODUCT((O$29:O$36&gt;O30)/COUNTIF(O$29:O$36,O$29:O$36&amp;""))+1</f>
        <v>2</v>
      </c>
      <c r="U30" s="16" t="s">
        <v>983</v>
      </c>
      <c r="V30" s="150">
        <v>1126</v>
      </c>
      <c r="W30" s="93" t="s">
        <v>380</v>
      </c>
      <c r="X30" s="14">
        <f t="shared" ref="X30:X32" si="18">I20</f>
        <v>8.8000000000000007</v>
      </c>
      <c r="Y30" s="283">
        <f t="shared" si="0"/>
        <v>11.000000000000002</v>
      </c>
      <c r="Z30" s="14">
        <f t="shared" ref="Z30:Z32" si="19">J20</f>
        <v>8.4</v>
      </c>
      <c r="AA30" s="283">
        <f t="shared" si="1"/>
        <v>16.999999999999996</v>
      </c>
      <c r="AB30" s="69">
        <f>Table3515505713182931[[#This Row],[Floor4]]+Table3515505713182931[[#This Row],[Vault6]]</f>
        <v>17.200000000000003</v>
      </c>
      <c r="AC30" s="283">
        <f t="shared" si="2"/>
        <v>25</v>
      </c>
    </row>
    <row r="31" spans="1:29">
      <c r="A31" s="150">
        <v>1138</v>
      </c>
      <c r="B31" s="16" t="s">
        <v>104</v>
      </c>
      <c r="C31" s="14">
        <v>8.6999999999999993</v>
      </c>
      <c r="D31" s="14">
        <v>9.1999999999999993</v>
      </c>
      <c r="E31" s="14">
        <f t="shared" ref="E31:E35" si="20">SUM(C31,D31)</f>
        <v>17.899999999999999</v>
      </c>
      <c r="F31" s="267"/>
      <c r="G31" s="150">
        <v>1144</v>
      </c>
      <c r="H31" s="16" t="s">
        <v>492</v>
      </c>
      <c r="I31" s="14">
        <v>8.1</v>
      </c>
      <c r="J31" s="14">
        <v>8.8000000000000007</v>
      </c>
      <c r="K31" s="14">
        <f t="shared" ref="K31:K35" si="21">SUM(I31,J31)</f>
        <v>16.899999999999999</v>
      </c>
      <c r="N31" s="45" t="s">
        <v>554</v>
      </c>
      <c r="O31" s="369">
        <f>Q14</f>
        <v>71.25</v>
      </c>
      <c r="P31" s="40">
        <f t="shared" si="17"/>
        <v>4</v>
      </c>
      <c r="U31" s="16" t="s">
        <v>983</v>
      </c>
      <c r="V31" s="150">
        <v>1127</v>
      </c>
      <c r="W31" s="93" t="s">
        <v>379</v>
      </c>
      <c r="X31" s="14">
        <f>I21</f>
        <v>9</v>
      </c>
      <c r="Y31" s="283">
        <f t="shared" si="0"/>
        <v>9</v>
      </c>
      <c r="Z31" s="14">
        <f>J21</f>
        <v>9.15</v>
      </c>
      <c r="AA31" s="283">
        <f t="shared" si="1"/>
        <v>6.0000000000000009</v>
      </c>
      <c r="AB31" s="69">
        <f>Table3515505713182931[[#This Row],[Floor4]]+Table3515505713182931[[#This Row],[Vault6]]</f>
        <v>18.149999999999999</v>
      </c>
      <c r="AC31" s="283">
        <f t="shared" si="2"/>
        <v>14</v>
      </c>
    </row>
    <row r="32" spans="1:29">
      <c r="A32" s="150">
        <v>1139</v>
      </c>
      <c r="B32" s="16" t="s">
        <v>71</v>
      </c>
      <c r="C32" s="14">
        <v>9.1999999999999993</v>
      </c>
      <c r="D32" s="14">
        <v>8.75</v>
      </c>
      <c r="E32" s="14">
        <f t="shared" si="20"/>
        <v>17.95</v>
      </c>
      <c r="F32" s="267"/>
      <c r="G32" s="150">
        <v>1145</v>
      </c>
      <c r="H32" s="16" t="s">
        <v>1205</v>
      </c>
      <c r="I32" s="14">
        <v>8.9</v>
      </c>
      <c r="J32" s="14">
        <v>7.9</v>
      </c>
      <c r="K32" s="14">
        <f t="shared" si="21"/>
        <v>16.8</v>
      </c>
      <c r="N32" s="45" t="s">
        <v>157</v>
      </c>
      <c r="O32" s="370">
        <f>E25</f>
        <v>74.75</v>
      </c>
      <c r="P32" s="40">
        <f t="shared" si="17"/>
        <v>1</v>
      </c>
      <c r="U32" s="16" t="s">
        <v>983</v>
      </c>
      <c r="V32" s="150">
        <v>1128</v>
      </c>
      <c r="W32" s="93" t="s">
        <v>455</v>
      </c>
      <c r="X32" s="14">
        <f t="shared" si="18"/>
        <v>8.5</v>
      </c>
      <c r="Y32" s="283">
        <f t="shared" si="0"/>
        <v>13.999999999999998</v>
      </c>
      <c r="Z32" s="14">
        <f t="shared" si="19"/>
        <v>8.0500000000000007</v>
      </c>
      <c r="AA32" s="283">
        <f t="shared" si="1"/>
        <v>19.999999999999993</v>
      </c>
      <c r="AB32" s="69">
        <f>Table3515505713182931[[#This Row],[Floor4]]+Table3515505713182931[[#This Row],[Vault6]]</f>
        <v>16.55</v>
      </c>
      <c r="AC32" s="283">
        <f t="shared" si="2"/>
        <v>30</v>
      </c>
    </row>
    <row r="33" spans="1:29">
      <c r="A33" s="150">
        <v>1140</v>
      </c>
      <c r="B33" s="16" t="s">
        <v>72</v>
      </c>
      <c r="C33" s="14">
        <v>9.5</v>
      </c>
      <c r="D33" s="14">
        <v>9.35</v>
      </c>
      <c r="E33" s="14">
        <f t="shared" si="20"/>
        <v>18.850000000000001</v>
      </c>
      <c r="F33" s="267"/>
      <c r="G33" s="150">
        <v>1146</v>
      </c>
      <c r="H33" s="16" t="s">
        <v>1206</v>
      </c>
      <c r="I33" s="14">
        <v>8.8000000000000007</v>
      </c>
      <c r="J33" s="14">
        <v>8.5500000000000007</v>
      </c>
      <c r="K33" s="14">
        <f t="shared" si="21"/>
        <v>17.350000000000001</v>
      </c>
      <c r="N33" s="148" t="s">
        <v>555</v>
      </c>
      <c r="O33" s="371">
        <f>K25</f>
        <v>69.650000000000006</v>
      </c>
      <c r="P33" s="40">
        <f t="shared" si="17"/>
        <v>5</v>
      </c>
      <c r="U33" s="16" t="s">
        <v>391</v>
      </c>
      <c r="V33" s="150">
        <v>1150</v>
      </c>
      <c r="W33" s="93" t="s">
        <v>1004</v>
      </c>
      <c r="X33" s="14">
        <f>I41</f>
        <v>9.5</v>
      </c>
      <c r="Y33" s="283">
        <f t="shared" si="0"/>
        <v>6</v>
      </c>
      <c r="Z33" s="14">
        <f>J41</f>
        <v>9</v>
      </c>
      <c r="AA33" s="283">
        <f t="shared" si="1"/>
        <v>9</v>
      </c>
      <c r="AB33" s="69">
        <f>Table3515505713182931[[#This Row],[Floor4]]+Table3515505713182931[[#This Row],[Vault6]]</f>
        <v>18.5</v>
      </c>
      <c r="AC33" s="283">
        <f t="shared" si="2"/>
        <v>9</v>
      </c>
    </row>
    <row r="34" spans="1:29">
      <c r="A34" s="150">
        <v>1141</v>
      </c>
      <c r="B34" s="359"/>
      <c r="C34" s="14">
        <v>0</v>
      </c>
      <c r="D34" s="14">
        <v>0</v>
      </c>
      <c r="E34" s="14">
        <f t="shared" si="20"/>
        <v>0</v>
      </c>
      <c r="F34" s="267"/>
      <c r="G34" s="408">
        <v>1147</v>
      </c>
      <c r="H34" s="406" t="s">
        <v>1207</v>
      </c>
      <c r="I34" s="401">
        <v>0</v>
      </c>
      <c r="J34" s="401">
        <v>0</v>
      </c>
      <c r="K34" s="401">
        <f t="shared" si="21"/>
        <v>0</v>
      </c>
      <c r="N34" s="148" t="s">
        <v>1189</v>
      </c>
      <c r="O34" s="371">
        <f>Q25</f>
        <v>72.449999999999989</v>
      </c>
      <c r="P34" s="40">
        <f t="shared" si="17"/>
        <v>3</v>
      </c>
      <c r="U34" s="16" t="s">
        <v>391</v>
      </c>
      <c r="V34" s="150">
        <v>1151</v>
      </c>
      <c r="W34" s="93" t="s">
        <v>392</v>
      </c>
      <c r="X34" s="14">
        <f>I42</f>
        <v>9.1999999999999993</v>
      </c>
      <c r="Y34" s="283">
        <f t="shared" si="0"/>
        <v>8</v>
      </c>
      <c r="Z34" s="14">
        <f>J42</f>
        <v>8.9499999999999993</v>
      </c>
      <c r="AA34" s="283">
        <f t="shared" si="1"/>
        <v>10</v>
      </c>
      <c r="AB34" s="69">
        <f>Table3515505713182931[[#This Row],[Floor4]]+Table3515505713182931[[#This Row],[Vault6]]</f>
        <v>18.149999999999999</v>
      </c>
      <c r="AC34" s="283">
        <f t="shared" si="2"/>
        <v>14</v>
      </c>
    </row>
    <row r="35" spans="1:29" ht="16.5" thickBot="1">
      <c r="A35" s="150">
        <v>1142</v>
      </c>
      <c r="B35" s="359"/>
      <c r="C35" s="14">
        <v>0</v>
      </c>
      <c r="D35" s="14">
        <v>0</v>
      </c>
      <c r="E35" s="14">
        <f t="shared" si="20"/>
        <v>0</v>
      </c>
      <c r="F35" s="267"/>
      <c r="G35" s="150">
        <v>1148</v>
      </c>
      <c r="H35" s="16" t="s">
        <v>1208</v>
      </c>
      <c r="I35" s="14">
        <v>8.9</v>
      </c>
      <c r="J35" s="14">
        <v>8.0500000000000007</v>
      </c>
      <c r="K35" s="14">
        <f t="shared" si="21"/>
        <v>16.950000000000003</v>
      </c>
      <c r="N35" s="45" t="s">
        <v>484</v>
      </c>
      <c r="O35" s="370">
        <f>E36</f>
        <v>54.699999999999996</v>
      </c>
      <c r="P35" s="40">
        <f t="shared" si="17"/>
        <v>7</v>
      </c>
      <c r="U35" s="16" t="s">
        <v>1104</v>
      </c>
      <c r="V35" s="150">
        <v>1152</v>
      </c>
      <c r="W35" s="93" t="s">
        <v>1105</v>
      </c>
      <c r="X35" s="14">
        <f>C45</f>
        <v>9.9</v>
      </c>
      <c r="Y35" s="283">
        <f t="shared" si="0"/>
        <v>2</v>
      </c>
      <c r="Z35" s="14">
        <f>D45</f>
        <v>9.1999999999999993</v>
      </c>
      <c r="AA35" s="283">
        <f t="shared" si="1"/>
        <v>5</v>
      </c>
      <c r="AB35" s="69">
        <f>Table3515505713182931[[#This Row],[Floor4]]+Table3515505713182931[[#This Row],[Vault6]]</f>
        <v>19.100000000000001</v>
      </c>
      <c r="AC35" s="283">
        <f t="shared" si="2"/>
        <v>2</v>
      </c>
    </row>
    <row r="36" spans="1:29" ht="16.5" thickBot="1">
      <c r="A36" s="8"/>
      <c r="B36" s="18" t="s">
        <v>10</v>
      </c>
      <c r="C36" s="19">
        <f>SUM(C30:C35)-SMALL(C30:C35,1)-SMALL(C30:C35,2)</f>
        <v>27.4</v>
      </c>
      <c r="D36" s="19">
        <f>SUM(D30:D35)-SMALL(D30:D35,1)-SMALL(D30:D35,2)</f>
        <v>27.299999999999997</v>
      </c>
      <c r="E36" s="20">
        <f>SUM(C36:D36)</f>
        <v>54.699999999999996</v>
      </c>
      <c r="F36" s="267"/>
      <c r="G36" s="8"/>
      <c r="H36" s="18" t="s">
        <v>10</v>
      </c>
      <c r="I36" s="19">
        <f>SUM(I30:I35)-SMALL(I30:I35,1)-SMALL(I30:I35,2)</f>
        <v>35.200000000000003</v>
      </c>
      <c r="J36" s="19">
        <f>SUM(J30:J35)-SMALL(J30:J35,1)-SMALL(J30:J35,2)</f>
        <v>33.699999999999996</v>
      </c>
      <c r="K36" s="20">
        <f>SUM(I36:J36)</f>
        <v>68.900000000000006</v>
      </c>
      <c r="N36" s="257" t="s">
        <v>1274</v>
      </c>
      <c r="O36" s="371">
        <f>K36</f>
        <v>68.900000000000006</v>
      </c>
      <c r="P36" s="40">
        <f t="shared" si="17"/>
        <v>6</v>
      </c>
      <c r="U36" s="406" t="s">
        <v>1193</v>
      </c>
      <c r="V36" s="408">
        <v>1131</v>
      </c>
      <c r="W36" s="397" t="s">
        <v>1190</v>
      </c>
      <c r="X36" s="401">
        <f>O19</f>
        <v>0</v>
      </c>
      <c r="Y36" s="402">
        <f t="shared" si="0"/>
        <v>19</v>
      </c>
      <c r="Z36" s="401">
        <f>P19</f>
        <v>0</v>
      </c>
      <c r="AA36" s="402">
        <f t="shared" si="1"/>
        <v>21.999999999999989</v>
      </c>
      <c r="AB36" s="403">
        <f>Table3515505713182931[[#This Row],[Floor4]]+Table3515505713182931[[#This Row],[Vault6]]</f>
        <v>0</v>
      </c>
      <c r="AC36" s="402">
        <f t="shared" si="2"/>
        <v>31</v>
      </c>
    </row>
    <row r="37" spans="1:29">
      <c r="A37" s="8"/>
      <c r="B37" s="360" t="s">
        <v>37</v>
      </c>
      <c r="C37" s="8"/>
      <c r="D37" s="18"/>
      <c r="E37" s="22"/>
      <c r="F37" s="267"/>
      <c r="G37" s="8"/>
      <c r="H37" s="360" t="s">
        <v>37</v>
      </c>
      <c r="I37" s="8"/>
      <c r="J37" s="18"/>
      <c r="K37" s="22"/>
      <c r="N37" s="7"/>
      <c r="O37" s="46"/>
      <c r="P37" s="282"/>
      <c r="U37" s="16" t="s">
        <v>1193</v>
      </c>
      <c r="V37" s="150">
        <v>1132</v>
      </c>
      <c r="W37" s="93" t="s">
        <v>185</v>
      </c>
      <c r="X37" s="14">
        <f t="shared" ref="X37:X40" si="22">O20</f>
        <v>9</v>
      </c>
      <c r="Y37" s="283">
        <f t="shared" si="0"/>
        <v>9</v>
      </c>
      <c r="Z37" s="14">
        <f t="shared" ref="Z37:Z40" si="23">P20</f>
        <v>9.1999999999999993</v>
      </c>
      <c r="AA37" s="283">
        <f t="shared" si="1"/>
        <v>5</v>
      </c>
      <c r="AB37" s="69">
        <f>Table3515505713182931[[#This Row],[Floor4]]+Table3515505713182931[[#This Row],[Vault6]]</f>
        <v>18.2</v>
      </c>
      <c r="AC37" s="283">
        <f t="shared" si="2"/>
        <v>13</v>
      </c>
    </row>
    <row r="38" spans="1:29">
      <c r="A38" s="80"/>
      <c r="B38" s="144"/>
      <c r="C38" s="68"/>
      <c r="D38" s="68"/>
      <c r="E38" s="68"/>
      <c r="F38" s="8"/>
      <c r="G38" s="80"/>
      <c r="H38" s="144"/>
      <c r="I38" s="68"/>
      <c r="J38" s="68"/>
      <c r="K38" s="68"/>
      <c r="L38" s="1"/>
      <c r="M38" s="102"/>
      <c r="Q38" s="73"/>
      <c r="U38" s="16" t="s">
        <v>1193</v>
      </c>
      <c r="V38" s="150">
        <v>1133</v>
      </c>
      <c r="W38" s="93" t="s">
        <v>184</v>
      </c>
      <c r="X38" s="14">
        <f t="shared" si="22"/>
        <v>9.4</v>
      </c>
      <c r="Y38" s="283">
        <f t="shared" si="0"/>
        <v>7.0000000000000009</v>
      </c>
      <c r="Z38" s="14">
        <f t="shared" si="23"/>
        <v>8.9499999999999993</v>
      </c>
      <c r="AA38" s="283">
        <f t="shared" si="1"/>
        <v>10</v>
      </c>
      <c r="AB38" s="69">
        <f>Table3515505713182931[[#This Row],[Floor4]]+Table3515505713182931[[#This Row],[Vault6]]</f>
        <v>18.350000000000001</v>
      </c>
      <c r="AC38" s="283">
        <f t="shared" si="2"/>
        <v>11</v>
      </c>
    </row>
    <row r="39" spans="1:29">
      <c r="A39" s="348" t="s">
        <v>1329</v>
      </c>
      <c r="B39" s="349"/>
      <c r="C39" s="349"/>
      <c r="D39" s="349"/>
      <c r="E39" s="350"/>
      <c r="F39" s="8"/>
      <c r="G39" s="348" t="s">
        <v>1298</v>
      </c>
      <c r="H39" s="349"/>
      <c r="I39" s="349"/>
      <c r="J39" s="349"/>
      <c r="K39" s="350"/>
      <c r="L39" s="1"/>
      <c r="M39" s="102"/>
      <c r="Q39" s="73"/>
      <c r="U39" s="16" t="s">
        <v>1193</v>
      </c>
      <c r="V39" s="150">
        <v>1134</v>
      </c>
      <c r="W39" s="93" t="s">
        <v>1191</v>
      </c>
      <c r="X39" s="14">
        <f>O22</f>
        <v>9.4</v>
      </c>
      <c r="Y39" s="283">
        <f t="shared" si="0"/>
        <v>7.0000000000000009</v>
      </c>
      <c r="Z39" s="14">
        <f>P22</f>
        <v>8.6</v>
      </c>
      <c r="AA39" s="283">
        <f t="shared" si="1"/>
        <v>15</v>
      </c>
      <c r="AB39" s="69">
        <f>Table3515505713182931[[#This Row],[Floor4]]+Table3515505713182931[[#This Row],[Vault6]]</f>
        <v>18</v>
      </c>
      <c r="AC39" s="283">
        <f t="shared" si="2"/>
        <v>17</v>
      </c>
    </row>
    <row r="40" spans="1:29">
      <c r="A40" s="354" t="s">
        <v>1</v>
      </c>
      <c r="B40" s="354" t="s">
        <v>2</v>
      </c>
      <c r="C40" s="354" t="s">
        <v>3</v>
      </c>
      <c r="D40" s="354" t="s">
        <v>4</v>
      </c>
      <c r="E40" s="354" t="s">
        <v>5</v>
      </c>
      <c r="F40" s="8"/>
      <c r="G40" s="354" t="s">
        <v>1</v>
      </c>
      <c r="H40" s="354" t="s">
        <v>2</v>
      </c>
      <c r="I40" s="354" t="s">
        <v>3</v>
      </c>
      <c r="J40" s="354" t="s">
        <v>4</v>
      </c>
      <c r="K40" s="354" t="s">
        <v>5</v>
      </c>
      <c r="M40" s="1"/>
      <c r="Q40" s="1"/>
      <c r="U40" s="16" t="s">
        <v>1193</v>
      </c>
      <c r="V40" s="150">
        <v>1135</v>
      </c>
      <c r="W40" s="100" t="s">
        <v>183</v>
      </c>
      <c r="X40" s="14">
        <f t="shared" si="22"/>
        <v>9</v>
      </c>
      <c r="Y40" s="283">
        <f t="shared" si="0"/>
        <v>9</v>
      </c>
      <c r="Z40" s="14">
        <f t="shared" si="23"/>
        <v>8.9</v>
      </c>
      <c r="AA40" s="283">
        <f t="shared" si="1"/>
        <v>11.000000000000002</v>
      </c>
      <c r="AB40" s="69">
        <f>Table3515505713182931[[#This Row],[Floor4]]+Table3515505713182931[[#This Row],[Vault6]]</f>
        <v>17.899999999999999</v>
      </c>
      <c r="AC40" s="283">
        <f t="shared" si="2"/>
        <v>19</v>
      </c>
    </row>
    <row r="41" spans="1:29">
      <c r="A41" s="150">
        <v>1149</v>
      </c>
      <c r="B41" s="95" t="s">
        <v>142</v>
      </c>
      <c r="C41" s="14">
        <v>9</v>
      </c>
      <c r="D41" s="14">
        <v>9.15</v>
      </c>
      <c r="E41" s="14">
        <f>SUM(C41,D41)</f>
        <v>18.149999999999999</v>
      </c>
      <c r="F41" s="8"/>
      <c r="G41" s="150">
        <v>1150</v>
      </c>
      <c r="H41" s="95" t="s">
        <v>1004</v>
      </c>
      <c r="I41" s="14">
        <v>9.5</v>
      </c>
      <c r="J41" s="14">
        <v>9</v>
      </c>
      <c r="K41" s="14">
        <f>SUM(I41,J41)</f>
        <v>18.5</v>
      </c>
      <c r="L41" s="8"/>
      <c r="M41" s="86"/>
      <c r="Q41" s="86"/>
      <c r="U41" s="406" t="s">
        <v>1193</v>
      </c>
      <c r="V41" s="408">
        <v>1137</v>
      </c>
      <c r="W41" s="406" t="s">
        <v>1192</v>
      </c>
      <c r="X41" s="401">
        <f>C30</f>
        <v>0</v>
      </c>
      <c r="Y41" s="402">
        <f t="shared" si="0"/>
        <v>19</v>
      </c>
      <c r="Z41" s="401">
        <f>D30</f>
        <v>0</v>
      </c>
      <c r="AA41" s="402">
        <f t="shared" si="1"/>
        <v>21.999999999999989</v>
      </c>
      <c r="AB41" s="403">
        <f>Table3515505713182931[[#This Row],[Floor4]]+Table3515505713182931[[#This Row],[Vault6]]</f>
        <v>0</v>
      </c>
      <c r="AC41" s="402">
        <f t="shared" si="2"/>
        <v>31</v>
      </c>
    </row>
    <row r="42" spans="1:29">
      <c r="A42" s="80"/>
      <c r="B42" s="107"/>
      <c r="C42" s="68"/>
      <c r="D42" s="68"/>
      <c r="E42" s="68"/>
      <c r="F42" s="8"/>
      <c r="G42" s="150">
        <v>1151</v>
      </c>
      <c r="H42" s="95" t="s">
        <v>392</v>
      </c>
      <c r="I42" s="14">
        <v>9.1999999999999993</v>
      </c>
      <c r="J42" s="14">
        <v>8.9499999999999993</v>
      </c>
      <c r="K42" s="14">
        <f t="shared" ref="K42" si="24">SUM(I42,J42)</f>
        <v>18.149999999999999</v>
      </c>
      <c r="M42" s="111"/>
      <c r="Q42" s="111"/>
      <c r="U42" s="16" t="s">
        <v>1193</v>
      </c>
      <c r="V42" s="150">
        <v>1138</v>
      </c>
      <c r="W42" s="16" t="s">
        <v>104</v>
      </c>
      <c r="X42" s="14">
        <f t="shared" ref="X42:X44" si="25">C31</f>
        <v>8.6999999999999993</v>
      </c>
      <c r="Y42" s="283">
        <f t="shared" si="0"/>
        <v>12</v>
      </c>
      <c r="Z42" s="14">
        <f t="shared" ref="Z42:Z44" si="26">D31</f>
        <v>9.1999999999999993</v>
      </c>
      <c r="AA42" s="283">
        <f t="shared" si="1"/>
        <v>5</v>
      </c>
      <c r="AB42" s="69">
        <f>Table3515505713182931[[#This Row],[Floor4]]+Table3515505713182931[[#This Row],[Vault6]]</f>
        <v>17.899999999999999</v>
      </c>
      <c r="AC42" s="283">
        <f t="shared" si="2"/>
        <v>19</v>
      </c>
    </row>
    <row r="43" spans="1:29">
      <c r="A43" s="348" t="s">
        <v>1331</v>
      </c>
      <c r="B43" s="349"/>
      <c r="C43" s="349"/>
      <c r="D43" s="349"/>
      <c r="E43" s="350"/>
      <c r="F43" s="8"/>
      <c r="G43" s="8"/>
      <c r="H43" s="367"/>
      <c r="I43" s="367"/>
      <c r="J43" s="367"/>
      <c r="K43" s="367"/>
      <c r="M43" s="102"/>
      <c r="Q43" s="73"/>
      <c r="U43" s="16" t="s">
        <v>1193</v>
      </c>
      <c r="V43" s="150">
        <v>1139</v>
      </c>
      <c r="W43" s="16" t="s">
        <v>71</v>
      </c>
      <c r="X43" s="14">
        <f>C32</f>
        <v>9.1999999999999993</v>
      </c>
      <c r="Y43" s="283">
        <f t="shared" si="0"/>
        <v>8</v>
      </c>
      <c r="Z43" s="14">
        <f>D32</f>
        <v>8.75</v>
      </c>
      <c r="AA43" s="283">
        <f t="shared" si="1"/>
        <v>14</v>
      </c>
      <c r="AB43" s="69">
        <f>Table3515505713182931[[#This Row],[Floor4]]+Table3515505713182931[[#This Row],[Vault6]]</f>
        <v>17.95</v>
      </c>
      <c r="AC43" s="283">
        <f t="shared" si="2"/>
        <v>18</v>
      </c>
    </row>
    <row r="44" spans="1:29">
      <c r="A44" s="354" t="s">
        <v>1</v>
      </c>
      <c r="B44" s="354" t="s">
        <v>2</v>
      </c>
      <c r="C44" s="354" t="s">
        <v>3</v>
      </c>
      <c r="D44" s="354" t="s">
        <v>4</v>
      </c>
      <c r="E44" s="354" t="s">
        <v>5</v>
      </c>
      <c r="F44" s="8"/>
      <c r="G44" s="80"/>
      <c r="H44" s="367"/>
      <c r="I44" s="367"/>
      <c r="J44" s="367"/>
      <c r="K44" s="367"/>
      <c r="M44" s="102"/>
      <c r="Q44" s="73"/>
      <c r="U44" s="16" t="s">
        <v>1193</v>
      </c>
      <c r="V44" s="150">
        <v>1140</v>
      </c>
      <c r="W44" s="16" t="s">
        <v>72</v>
      </c>
      <c r="X44" s="14">
        <f t="shared" si="25"/>
        <v>9.5</v>
      </c>
      <c r="Y44" s="283">
        <f t="shared" si="0"/>
        <v>6</v>
      </c>
      <c r="Z44" s="14">
        <f t="shared" si="26"/>
        <v>9.35</v>
      </c>
      <c r="AA44" s="283">
        <f t="shared" si="1"/>
        <v>2</v>
      </c>
      <c r="AB44" s="69">
        <f>Table3515505713182931[[#This Row],[Floor4]]+Table3515505713182931[[#This Row],[Vault6]]</f>
        <v>18.850000000000001</v>
      </c>
      <c r="AC44" s="283">
        <f t="shared" si="2"/>
        <v>5</v>
      </c>
    </row>
    <row r="45" spans="1:29">
      <c r="A45" s="150">
        <v>1152</v>
      </c>
      <c r="B45" s="95" t="s">
        <v>1105</v>
      </c>
      <c r="C45" s="14">
        <v>9.9</v>
      </c>
      <c r="D45" s="14">
        <v>9.1999999999999993</v>
      </c>
      <c r="E45" s="14">
        <f t="shared" ref="E45" si="27">SUM(C45,D45)</f>
        <v>19.100000000000001</v>
      </c>
      <c r="F45" s="8"/>
      <c r="G45" s="80"/>
      <c r="H45" s="144"/>
      <c r="I45" s="68"/>
      <c r="J45" s="68"/>
      <c r="K45" s="68"/>
      <c r="M45" s="102"/>
      <c r="Q45" s="73"/>
      <c r="U45" s="16" t="s">
        <v>1204</v>
      </c>
      <c r="V45" s="150">
        <v>1143</v>
      </c>
      <c r="W45" s="16" t="s">
        <v>493</v>
      </c>
      <c r="X45" s="14">
        <f>I30</f>
        <v>8.6</v>
      </c>
      <c r="Y45" s="283">
        <f t="shared" si="0"/>
        <v>12.999999999999998</v>
      </c>
      <c r="Z45" s="14">
        <f>J30</f>
        <v>8.3000000000000007</v>
      </c>
      <c r="AA45" s="283">
        <f t="shared" si="1"/>
        <v>17.999999999999996</v>
      </c>
      <c r="AB45" s="69">
        <f>Table3515505713182931[[#This Row],[Floor4]]+Table3515505713182931[[#This Row],[Vault6]]</f>
        <v>16.899999999999999</v>
      </c>
      <c r="AC45" s="283">
        <f t="shared" si="2"/>
        <v>27</v>
      </c>
    </row>
    <row r="46" spans="1:29">
      <c r="A46" s="8"/>
      <c r="B46" s="8"/>
      <c r="C46" s="8"/>
      <c r="D46" s="8"/>
      <c r="E46" s="8"/>
      <c r="F46" s="267"/>
      <c r="G46" s="8"/>
      <c r="H46" s="8"/>
      <c r="I46" s="8"/>
      <c r="J46" s="8"/>
      <c r="K46" s="8"/>
      <c r="M46" s="102"/>
      <c r="Q46" s="73"/>
      <c r="U46" s="16" t="s">
        <v>1204</v>
      </c>
      <c r="V46" s="150">
        <v>1144</v>
      </c>
      <c r="W46" s="16" t="s">
        <v>492</v>
      </c>
      <c r="X46" s="14">
        <f t="shared" ref="X46:X50" si="28">I31</f>
        <v>8.1</v>
      </c>
      <c r="Y46" s="283">
        <f t="shared" si="0"/>
        <v>17</v>
      </c>
      <c r="Z46" s="14">
        <f t="shared" ref="Z46:Z50" si="29">J31</f>
        <v>8.8000000000000007</v>
      </c>
      <c r="AA46" s="283">
        <f t="shared" si="1"/>
        <v>13</v>
      </c>
      <c r="AB46" s="69">
        <f>Table3515505713182931[[#This Row],[Floor4]]+Table3515505713182931[[#This Row],[Vault6]]</f>
        <v>16.899999999999999</v>
      </c>
      <c r="AC46" s="283">
        <f t="shared" si="2"/>
        <v>27</v>
      </c>
    </row>
    <row r="47" spans="1:29">
      <c r="F47" s="1"/>
      <c r="M47" s="102"/>
      <c r="Q47" s="73"/>
      <c r="U47" s="16" t="s">
        <v>1204</v>
      </c>
      <c r="V47" s="150">
        <v>1145</v>
      </c>
      <c r="W47" s="16" t="s">
        <v>1205</v>
      </c>
      <c r="X47" s="14">
        <f t="shared" si="28"/>
        <v>8.9</v>
      </c>
      <c r="Y47" s="283">
        <f t="shared" si="0"/>
        <v>10</v>
      </c>
      <c r="Z47" s="14">
        <f t="shared" si="29"/>
        <v>7.9</v>
      </c>
      <c r="AA47" s="283">
        <f t="shared" si="1"/>
        <v>20.999999999999989</v>
      </c>
      <c r="AB47" s="69">
        <f>Table3515505713182931[[#This Row],[Floor4]]+Table3515505713182931[[#This Row],[Vault6]]</f>
        <v>16.8</v>
      </c>
      <c r="AC47" s="283">
        <f t="shared" si="2"/>
        <v>28</v>
      </c>
    </row>
    <row r="48" spans="1:29">
      <c r="F48" s="106"/>
      <c r="L48" s="8"/>
      <c r="M48" s="102"/>
      <c r="Q48" s="68"/>
      <c r="U48" s="16" t="s">
        <v>1204</v>
      </c>
      <c r="V48" s="150">
        <v>1146</v>
      </c>
      <c r="W48" s="16" t="s">
        <v>1206</v>
      </c>
      <c r="X48" s="14">
        <f>I33</f>
        <v>8.8000000000000007</v>
      </c>
      <c r="Y48" s="283">
        <f t="shared" si="0"/>
        <v>11.000000000000002</v>
      </c>
      <c r="Z48" s="14">
        <f>J33</f>
        <v>8.5500000000000007</v>
      </c>
      <c r="AA48" s="283">
        <f t="shared" si="1"/>
        <v>15.999999999999998</v>
      </c>
      <c r="AB48" s="69">
        <f>Table3515505713182931[[#This Row],[Floor4]]+Table3515505713182931[[#This Row],[Vault6]]</f>
        <v>17.350000000000001</v>
      </c>
      <c r="AC48" s="283">
        <f t="shared" si="2"/>
        <v>23</v>
      </c>
    </row>
    <row r="49" spans="1:29">
      <c r="F49" s="106"/>
      <c r="G49" s="1"/>
      <c r="H49" s="104"/>
      <c r="I49" s="64"/>
      <c r="J49" s="64"/>
      <c r="K49" s="105"/>
      <c r="L49" s="8"/>
      <c r="M49" s="1"/>
      <c r="Q49" s="105"/>
      <c r="U49" s="406" t="s">
        <v>1204</v>
      </c>
      <c r="V49" s="408">
        <v>1147</v>
      </c>
      <c r="W49" s="406" t="s">
        <v>1207</v>
      </c>
      <c r="X49" s="401">
        <f t="shared" si="28"/>
        <v>0</v>
      </c>
      <c r="Y49" s="402">
        <f t="shared" si="0"/>
        <v>19</v>
      </c>
      <c r="Z49" s="401">
        <f t="shared" si="29"/>
        <v>0</v>
      </c>
      <c r="AA49" s="402">
        <f t="shared" si="1"/>
        <v>21.999999999999989</v>
      </c>
      <c r="AB49" s="403">
        <f>Table3515505713182931[[#This Row],[Floor4]]+Table3515505713182931[[#This Row],[Vault6]]</f>
        <v>0</v>
      </c>
      <c r="AC49" s="402">
        <f t="shared" si="2"/>
        <v>31</v>
      </c>
    </row>
    <row r="50" spans="1:29">
      <c r="F50" s="1"/>
      <c r="G50" s="1"/>
      <c r="H50" s="114"/>
      <c r="I50" s="1"/>
      <c r="J50" s="104"/>
      <c r="K50" s="115"/>
      <c r="M50" s="1"/>
      <c r="Q50" s="115"/>
      <c r="U50" s="16" t="s">
        <v>1204</v>
      </c>
      <c r="V50" s="150">
        <v>1148</v>
      </c>
      <c r="W50" s="16" t="s">
        <v>1208</v>
      </c>
      <c r="X50" s="14">
        <f t="shared" si="28"/>
        <v>8.9</v>
      </c>
      <c r="Y50" s="283">
        <f t="shared" si="0"/>
        <v>10</v>
      </c>
      <c r="Z50" s="14">
        <f t="shared" si="29"/>
        <v>8.0500000000000007</v>
      </c>
      <c r="AA50" s="283">
        <f t="shared" si="1"/>
        <v>19.999999999999993</v>
      </c>
      <c r="AB50" s="69">
        <f>Table3515505713182931[[#This Row],[Floor4]]+Table3515505713182931[[#This Row],[Vault6]]</f>
        <v>16.950000000000003</v>
      </c>
      <c r="AC50" s="283">
        <f t="shared" si="2"/>
        <v>26</v>
      </c>
    </row>
    <row r="51" spans="1:29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U51" s="307" t="s">
        <v>1227</v>
      </c>
      <c r="V51" s="302">
        <v>1158</v>
      </c>
      <c r="W51" s="308" t="s">
        <v>509</v>
      </c>
      <c r="X51" s="295">
        <f>'ADV 13&amp;U MX'!D11</f>
        <v>9.1999999999999993</v>
      </c>
      <c r="Y51" s="283">
        <f t="shared" si="0"/>
        <v>8</v>
      </c>
      <c r="Z51" s="295">
        <f>'ADV 13&amp;U MX'!E11</f>
        <v>9.35</v>
      </c>
      <c r="AA51" s="283">
        <f t="shared" si="1"/>
        <v>2</v>
      </c>
      <c r="AB51" s="299">
        <f>Table3515505713182931[[#This Row],[Floor4]]+Table3515505713182931[[#This Row],[Vault6]]</f>
        <v>18.549999999999997</v>
      </c>
      <c r="AC51" s="283">
        <f t="shared" si="2"/>
        <v>8</v>
      </c>
    </row>
    <row r="52" spans="1:29">
      <c r="A52" s="75"/>
      <c r="B52" s="233"/>
      <c r="C52" s="75"/>
      <c r="D52" s="75"/>
      <c r="E52" s="75"/>
      <c r="F52" s="81"/>
      <c r="L52" s="86"/>
      <c r="U52" s="307" t="s">
        <v>1227</v>
      </c>
      <c r="V52" s="302">
        <v>1159</v>
      </c>
      <c r="W52" s="308" t="s">
        <v>497</v>
      </c>
      <c r="X52" s="295">
        <f>'ADV 13&amp;U MX'!D12</f>
        <v>9.6999999999999993</v>
      </c>
      <c r="Y52" s="283">
        <f t="shared" si="0"/>
        <v>4</v>
      </c>
      <c r="Z52" s="295">
        <f>'ADV 13&amp;U MX'!E12</f>
        <v>9.15</v>
      </c>
      <c r="AA52" s="283">
        <f t="shared" si="1"/>
        <v>6.0000000000000009</v>
      </c>
      <c r="AB52" s="299">
        <f>Table3515505713182931[[#This Row],[Floor4]]+Table3515505713182931[[#This Row],[Vault6]]</f>
        <v>18.850000000000001</v>
      </c>
      <c r="AC52" s="283">
        <f t="shared" si="2"/>
        <v>5</v>
      </c>
    </row>
    <row r="53" spans="1:29">
      <c r="A53" s="76"/>
      <c r="B53" s="76"/>
      <c r="C53" s="76"/>
      <c r="D53" s="76"/>
      <c r="E53" s="76"/>
      <c r="F53" s="81"/>
      <c r="L53" s="81"/>
      <c r="U53" s="307" t="s">
        <v>1227</v>
      </c>
      <c r="V53" s="310">
        <v>1160</v>
      </c>
      <c r="W53" s="311" t="s">
        <v>507</v>
      </c>
      <c r="X53" s="295">
        <f>'ADV 13&amp;U MX'!D13</f>
        <v>9.6999999999999993</v>
      </c>
      <c r="Y53" s="283">
        <f t="shared" si="0"/>
        <v>4</v>
      </c>
      <c r="Z53" s="295">
        <f>'ADV 13&amp;U MX'!E13</f>
        <v>9.3000000000000007</v>
      </c>
      <c r="AA53" s="283">
        <f t="shared" si="1"/>
        <v>3</v>
      </c>
      <c r="AB53" s="300">
        <f>Table3515505713182931[[#This Row],[Floor4]]+Table3515505713182931[[#This Row],[Vault6]]</f>
        <v>19</v>
      </c>
      <c r="AC53" s="283">
        <f t="shared" si="2"/>
        <v>3</v>
      </c>
    </row>
    <row r="54" spans="1:29">
      <c r="A54" s="78"/>
      <c r="B54" s="87"/>
      <c r="C54" s="79"/>
      <c r="D54" s="79"/>
      <c r="E54" s="79"/>
      <c r="F54" s="81"/>
      <c r="L54" s="81"/>
      <c r="U54" s="307" t="s">
        <v>1227</v>
      </c>
      <c r="V54" s="302">
        <v>1164</v>
      </c>
      <c r="W54" s="308" t="s">
        <v>498</v>
      </c>
      <c r="X54" s="295">
        <f>'ADV 13&amp;U MX'!O11</f>
        <v>9.4</v>
      </c>
      <c r="Y54" s="283">
        <f t="shared" si="0"/>
        <v>7.0000000000000009</v>
      </c>
      <c r="Z54" s="295">
        <f>'ADV 13&amp;U MX'!P11</f>
        <v>9.1</v>
      </c>
      <c r="AA54" s="283">
        <f t="shared" si="1"/>
        <v>7.0000000000000009</v>
      </c>
      <c r="AB54" s="299">
        <f>Table3515505713182931[[#This Row],[Floor4]]+Table3515505713182931[[#This Row],[Vault6]]</f>
        <v>18.5</v>
      </c>
      <c r="AC54" s="283">
        <f t="shared" si="2"/>
        <v>9</v>
      </c>
    </row>
    <row r="55" spans="1:29">
      <c r="A55" s="78"/>
      <c r="B55" s="87"/>
      <c r="C55" s="79"/>
      <c r="D55" s="79"/>
      <c r="E55" s="79"/>
      <c r="F55" s="81"/>
      <c r="L55" s="81"/>
      <c r="U55" s="307" t="s">
        <v>1227</v>
      </c>
      <c r="V55" s="302">
        <v>1165</v>
      </c>
      <c r="W55" s="308" t="s">
        <v>501</v>
      </c>
      <c r="X55" s="295">
        <f>'ADV 13&amp;U MX'!O12</f>
        <v>9.6999999999999993</v>
      </c>
      <c r="Y55" s="283">
        <f t="shared" si="0"/>
        <v>4</v>
      </c>
      <c r="Z55" s="295">
        <f>'ADV 13&amp;U MX'!P12</f>
        <v>9.0500000000000007</v>
      </c>
      <c r="AA55" s="283">
        <f t="shared" si="1"/>
        <v>8</v>
      </c>
      <c r="AB55" s="299">
        <f>Table3515505713182931[[#This Row],[Floor4]]+Table3515505713182931[[#This Row],[Vault6]]</f>
        <v>18.75</v>
      </c>
      <c r="AC55" s="283">
        <f t="shared" si="2"/>
        <v>6</v>
      </c>
    </row>
    <row r="56" spans="1:29">
      <c r="A56" s="78"/>
      <c r="B56" s="87"/>
      <c r="C56" s="79"/>
      <c r="D56" s="79"/>
      <c r="E56" s="79"/>
      <c r="F56" s="81"/>
      <c r="L56" s="81"/>
      <c r="U56" s="307" t="s">
        <v>1227</v>
      </c>
      <c r="V56" s="310">
        <v>1166</v>
      </c>
      <c r="W56" s="311" t="s">
        <v>495</v>
      </c>
      <c r="X56" s="295">
        <f>'ADV 13&amp;U MX'!O13</f>
        <v>10</v>
      </c>
      <c r="Y56" s="283">
        <f t="shared" si="0"/>
        <v>1</v>
      </c>
      <c r="Z56" s="295">
        <f>'ADV 13&amp;U MX'!P13</f>
        <v>9.15</v>
      </c>
      <c r="AA56" s="283">
        <f t="shared" si="1"/>
        <v>6.0000000000000009</v>
      </c>
      <c r="AB56" s="300">
        <f>Table3515505713182931[[#This Row],[Floor4]]+Table3515505713182931[[#This Row],[Vault6]]</f>
        <v>19.149999999999999</v>
      </c>
      <c r="AC56" s="283">
        <f t="shared" si="2"/>
        <v>1</v>
      </c>
    </row>
    <row r="57" spans="1:29">
      <c r="A57" s="78"/>
      <c r="B57" s="87"/>
      <c r="C57" s="79"/>
      <c r="D57" s="79"/>
      <c r="E57" s="79"/>
      <c r="F57" s="81"/>
      <c r="L57" s="86"/>
    </row>
    <row r="58" spans="1:29">
      <c r="A58" s="78"/>
      <c r="B58" s="87"/>
      <c r="C58" s="79"/>
      <c r="D58" s="79"/>
      <c r="E58" s="79"/>
      <c r="F58" s="81"/>
      <c r="L58" s="81"/>
      <c r="N58" s="65"/>
      <c r="O58" s="66"/>
      <c r="P58" s="67"/>
    </row>
    <row r="59" spans="1:29">
      <c r="A59" s="78"/>
      <c r="B59" s="87"/>
      <c r="C59" s="79"/>
      <c r="D59" s="79"/>
      <c r="E59" s="79"/>
      <c r="F59" s="81"/>
      <c r="L59" s="81"/>
    </row>
    <row r="60" spans="1:29">
      <c r="A60" s="88"/>
      <c r="B60" s="82"/>
      <c r="C60" s="79"/>
      <c r="D60" s="79"/>
      <c r="E60" s="83"/>
      <c r="F60" s="81"/>
      <c r="L60" s="81"/>
    </row>
    <row r="61" spans="1:29">
      <c r="A61" s="81"/>
      <c r="B61" s="89"/>
      <c r="C61" s="81"/>
      <c r="D61" s="84"/>
      <c r="E61" s="85"/>
      <c r="F61" s="81"/>
      <c r="L61" s="81"/>
    </row>
    <row r="62" spans="1:29">
      <c r="A62" s="75"/>
      <c r="B62" s="75"/>
      <c r="C62" s="75"/>
      <c r="D62" s="75"/>
      <c r="E62" s="75"/>
      <c r="F62" s="81"/>
      <c r="G62" s="86"/>
      <c r="H62" s="86"/>
      <c r="I62" s="86"/>
      <c r="J62" s="86"/>
      <c r="K62" s="86"/>
      <c r="L62" s="86"/>
    </row>
    <row r="63" spans="1:29">
      <c r="A63" s="76"/>
      <c r="B63" s="76"/>
      <c r="C63" s="76"/>
      <c r="D63" s="76"/>
      <c r="E63" s="76"/>
      <c r="F63" s="81"/>
      <c r="G63" s="77"/>
      <c r="H63" s="77"/>
      <c r="I63" s="77"/>
      <c r="J63" s="77"/>
      <c r="K63" s="77"/>
      <c r="L63" s="81"/>
    </row>
    <row r="64" spans="1:29">
      <c r="A64" s="78"/>
      <c r="B64" s="87"/>
      <c r="C64" s="79"/>
      <c r="D64" s="79"/>
      <c r="E64" s="79"/>
      <c r="F64" s="81"/>
      <c r="G64" s="80"/>
      <c r="H64" s="87"/>
      <c r="I64" s="68"/>
      <c r="J64" s="68"/>
      <c r="K64" s="68"/>
      <c r="L64" s="81"/>
    </row>
    <row r="65" spans="1:12">
      <c r="A65" s="78"/>
      <c r="B65" s="87"/>
      <c r="C65" s="79"/>
      <c r="D65" s="79"/>
      <c r="E65" s="79"/>
      <c r="F65" s="81"/>
      <c r="G65" s="81"/>
      <c r="H65" s="81"/>
      <c r="I65" s="81"/>
      <c r="J65" s="81"/>
      <c r="K65" s="81"/>
      <c r="L65" s="81"/>
    </row>
    <row r="66" spans="1:12">
      <c r="A66" s="78"/>
      <c r="B66" s="87"/>
      <c r="C66" s="79"/>
      <c r="D66" s="79"/>
      <c r="E66" s="79"/>
      <c r="F66" s="81"/>
      <c r="G66" s="81"/>
      <c r="H66" s="81"/>
      <c r="I66" s="81"/>
      <c r="J66" s="81"/>
      <c r="K66" s="81"/>
      <c r="L66" s="81"/>
    </row>
    <row r="67" spans="1:12">
      <c r="A67" s="78"/>
      <c r="B67" s="87"/>
      <c r="C67" s="79"/>
      <c r="D67" s="79"/>
      <c r="E67" s="79"/>
      <c r="F67" s="81"/>
      <c r="G67" s="81"/>
      <c r="H67" s="81"/>
      <c r="I67" s="81"/>
      <c r="J67" s="81"/>
      <c r="K67" s="81"/>
      <c r="L67" s="81"/>
    </row>
    <row r="68" spans="1:12">
      <c r="A68" s="78"/>
      <c r="B68" s="87"/>
      <c r="C68" s="79"/>
      <c r="D68" s="79"/>
      <c r="E68" s="79"/>
      <c r="F68" s="81"/>
      <c r="G68" s="81"/>
      <c r="H68" s="81"/>
      <c r="I68" s="81"/>
      <c r="J68" s="81"/>
      <c r="K68" s="81"/>
      <c r="L68" s="81"/>
    </row>
    <row r="69" spans="1:12">
      <c r="A69" s="78"/>
      <c r="B69" s="87"/>
      <c r="C69" s="79"/>
      <c r="D69" s="79"/>
      <c r="E69" s="79"/>
      <c r="F69" s="81"/>
      <c r="G69" s="81"/>
      <c r="H69" s="81"/>
      <c r="I69" s="81"/>
      <c r="J69" s="81"/>
      <c r="K69" s="81"/>
      <c r="L69" s="81"/>
    </row>
    <row r="70" spans="1:12">
      <c r="A70" s="88"/>
      <c r="B70" s="82"/>
      <c r="C70" s="79"/>
      <c r="D70" s="79"/>
      <c r="E70" s="83"/>
      <c r="F70" s="81"/>
      <c r="G70" s="81"/>
      <c r="H70" s="81"/>
      <c r="I70" s="81"/>
      <c r="J70" s="81"/>
      <c r="K70" s="81"/>
      <c r="L70" s="81"/>
    </row>
    <row r="71" spans="1:1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1:1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1:1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1:1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1:1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1:1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</sheetData>
  <mergeCells count="3">
    <mergeCell ref="A1:AC1"/>
    <mergeCell ref="A2:AC2"/>
    <mergeCell ref="G4:I4"/>
  </mergeCells>
  <phoneticPr fontId="21" type="noConversion"/>
  <conditionalFormatting sqref="P29:P36">
    <cfRule type="cellIs" dxfId="411" priority="10" operator="equal">
      <formula>3</formula>
    </cfRule>
    <cfRule type="cellIs" dxfId="410" priority="11" operator="equal">
      <formula>2</formula>
    </cfRule>
    <cfRule type="cellIs" dxfId="409" priority="12" operator="equal">
      <formula>1</formula>
    </cfRule>
  </conditionalFormatting>
  <conditionalFormatting sqref="Y7:Y56">
    <cfRule type="cellIs" dxfId="408" priority="7" operator="equal">
      <formula>3</formula>
    </cfRule>
    <cfRule type="cellIs" dxfId="407" priority="8" operator="equal">
      <formula>2</formula>
    </cfRule>
    <cfRule type="cellIs" dxfId="406" priority="9" operator="equal">
      <formula>1</formula>
    </cfRule>
  </conditionalFormatting>
  <conditionalFormatting sqref="AA7:AA56">
    <cfRule type="cellIs" dxfId="405" priority="4" operator="equal">
      <formula>3</formula>
    </cfRule>
    <cfRule type="cellIs" dxfId="404" priority="5" operator="equal">
      <formula>2</formula>
    </cfRule>
    <cfRule type="cellIs" dxfId="403" priority="6" operator="equal">
      <formula>1</formula>
    </cfRule>
  </conditionalFormatting>
  <conditionalFormatting sqref="AC7:AC56">
    <cfRule type="cellIs" dxfId="402" priority="1" operator="equal">
      <formula>3</formula>
    </cfRule>
    <cfRule type="cellIs" dxfId="401" priority="2" operator="equal">
      <formula>2</formula>
    </cfRule>
    <cfRule type="cellIs" dxfId="400" priority="3" operator="equal">
      <formula>1</formula>
    </cfRule>
  </conditionalFormatting>
  <pageMargins left="0.75" right="0.75" top="1" bottom="1" header="0.5" footer="0.5"/>
  <pageSetup paperSize="9" scale="50" orientation="landscape" horizontalDpi="4294967292" verticalDpi="4294967292"/>
  <colBreaks count="1" manualBreakCount="1">
    <brk id="29" max="1048575" man="1"/>
  </colBreaks>
  <ignoredErrors>
    <ignoredError sqref="Z7:Z56" formula="1"/>
  </ignoredErrors>
  <tableParts count="2">
    <tablePart r:id="rId1"/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C25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5" bestFit="1" customWidth="1"/>
    <col min="2" max="2" width="5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5.12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</cols>
  <sheetData>
    <row r="1" spans="1:81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</row>
    <row r="2" spans="1:81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0"/>
      <c r="BI2" s="90"/>
    </row>
    <row r="3" spans="1:81" ht="23.25"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21">
      <c r="A4" s="8"/>
      <c r="F4" s="1"/>
      <c r="G4" s="1"/>
      <c r="H4" s="1"/>
      <c r="I4" s="1"/>
      <c r="J4" s="1"/>
      <c r="K4" s="1"/>
      <c r="L4" s="467" t="s">
        <v>510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>
      <c r="V5" s="1"/>
    </row>
    <row r="6" spans="1:81">
      <c r="A6" s="470" t="s">
        <v>1223</v>
      </c>
      <c r="B6" s="471"/>
      <c r="C6" s="471"/>
      <c r="D6" s="471"/>
      <c r="E6" s="471"/>
      <c r="F6" s="472"/>
      <c r="G6" s="8"/>
      <c r="H6" s="8"/>
      <c r="I6" s="8"/>
      <c r="J6" s="8"/>
      <c r="K6" s="8"/>
      <c r="L6" s="470" t="s">
        <v>193</v>
      </c>
      <c r="M6" s="471"/>
      <c r="N6" s="471"/>
      <c r="O6" s="471"/>
      <c r="P6" s="471"/>
      <c r="Q6" s="472"/>
      <c r="R6" s="106"/>
      <c r="S6" s="106"/>
      <c r="T6" s="106"/>
      <c r="U6" s="106"/>
      <c r="V6" s="106"/>
      <c r="W6" s="113"/>
      <c r="X6" s="113"/>
      <c r="Y6" s="39" t="s">
        <v>12</v>
      </c>
      <c r="Z6" s="43" t="s">
        <v>5</v>
      </c>
      <c r="AA6" s="44" t="s">
        <v>11</v>
      </c>
      <c r="AB6" s="113"/>
      <c r="AC6" s="8"/>
      <c r="AD6" s="8"/>
      <c r="AE6" s="8"/>
      <c r="AF6" s="8"/>
      <c r="AG6" s="8"/>
    </row>
    <row r="7" spans="1:8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11"/>
      <c r="I7" s="11" t="s">
        <v>7</v>
      </c>
      <c r="J7" s="11"/>
      <c r="L7" s="9" t="s">
        <v>0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R7" s="116" t="s">
        <v>6</v>
      </c>
      <c r="S7" s="117"/>
      <c r="T7" s="117" t="s">
        <v>7</v>
      </c>
      <c r="U7" s="117"/>
      <c r="V7" s="1"/>
      <c r="W7" s="111"/>
      <c r="X7" s="111"/>
      <c r="Y7" s="45" t="s">
        <v>216</v>
      </c>
      <c r="Z7" s="47">
        <f>F14</f>
        <v>75.399999999999991</v>
      </c>
      <c r="AA7" s="40">
        <f>SUMPRODUCT((Z$7:Z$8&gt;Z7)/COUNTIF(Z$7:Z$8,Z$7:Z$8&amp;""))+1</f>
        <v>1</v>
      </c>
      <c r="AB7" s="111"/>
      <c r="AC7" s="112" t="s">
        <v>6</v>
      </c>
      <c r="AD7" s="11"/>
      <c r="AE7" s="11" t="s">
        <v>7</v>
      </c>
      <c r="AF7" s="11"/>
    </row>
    <row r="8" spans="1:81">
      <c r="A8" s="12" t="s">
        <v>8</v>
      </c>
      <c r="B8" s="149">
        <v>1155</v>
      </c>
      <c r="C8" s="93" t="s">
        <v>1224</v>
      </c>
      <c r="D8" s="13">
        <v>9.6</v>
      </c>
      <c r="E8" s="13">
        <v>8.6999999999999993</v>
      </c>
      <c r="F8" s="13">
        <f>SUM(D8:E8)</f>
        <v>18.299999999999997</v>
      </c>
      <c r="G8" s="11">
        <f t="shared" ref="G8:G13" si="0">IF(A8="M",D8)</f>
        <v>9.6</v>
      </c>
      <c r="H8" s="11" t="b">
        <f t="shared" ref="H8:H13" si="1">IF(A8="F",D8)</f>
        <v>0</v>
      </c>
      <c r="I8" s="11">
        <f t="shared" ref="I8:I13" si="2">IF(A8="M",E8)</f>
        <v>8.6999999999999993</v>
      </c>
      <c r="J8" s="11" t="b">
        <f t="shared" ref="J8:J13" si="3">IF(A8="F",E8)</f>
        <v>0</v>
      </c>
      <c r="L8" s="12" t="s">
        <v>8</v>
      </c>
      <c r="M8" s="149">
        <v>1161</v>
      </c>
      <c r="N8" s="93" t="s">
        <v>1225</v>
      </c>
      <c r="O8" s="13">
        <v>9.1999999999999993</v>
      </c>
      <c r="P8" s="13">
        <v>9.3000000000000007</v>
      </c>
      <c r="Q8" s="13">
        <f>SUM(O8:P8)</f>
        <v>18.5</v>
      </c>
      <c r="R8" s="117">
        <f t="shared" ref="R8:R9" si="4">IF(L8="M",O8)</f>
        <v>9.1999999999999993</v>
      </c>
      <c r="S8" s="117" t="b">
        <f t="shared" ref="S8:S9" si="5">IF(L8="F",O8)</f>
        <v>0</v>
      </c>
      <c r="T8" s="117">
        <f t="shared" ref="T8:T9" si="6">IF(L8="M",P8)</f>
        <v>9.3000000000000007</v>
      </c>
      <c r="U8" s="117" t="b">
        <f t="shared" ref="U8:U9" si="7">IF(L8="F",P8)</f>
        <v>0</v>
      </c>
      <c r="V8" s="1"/>
      <c r="W8" s="102"/>
      <c r="X8" s="102"/>
      <c r="Y8" s="45" t="s">
        <v>217</v>
      </c>
      <c r="Z8" s="62">
        <f>Q14</f>
        <v>74.5</v>
      </c>
      <c r="AA8" s="40">
        <f>SUMPRODUCT((Z$7:Z$8&gt;Z8)/COUNTIF(Z$7:Z$8,Z$7:Z$8&amp;""))+1</f>
        <v>2</v>
      </c>
      <c r="AB8" s="73"/>
      <c r="AC8" s="11" t="b">
        <f t="shared" ref="AC8:AC13" si="8">IF(W8="M",Z8)</f>
        <v>0</v>
      </c>
      <c r="AD8" s="11" t="b">
        <f t="shared" ref="AD8:AD13" si="9">IF(W8="F",Z8)</f>
        <v>0</v>
      </c>
      <c r="AE8" s="11" t="b">
        <f t="shared" ref="AE8:AE13" si="10">IF(W8="M",AA8)</f>
        <v>0</v>
      </c>
      <c r="AF8" s="11" t="b">
        <f t="shared" ref="AF8:AF13" si="11">IF(W8="F",AA8)</f>
        <v>0</v>
      </c>
    </row>
    <row r="9" spans="1:81">
      <c r="A9" s="12" t="s">
        <v>8</v>
      </c>
      <c r="B9" s="149">
        <v>1156</v>
      </c>
      <c r="C9" t="s">
        <v>210</v>
      </c>
      <c r="D9" s="13">
        <v>9.6</v>
      </c>
      <c r="E9" s="13">
        <v>9.4499999999999993</v>
      </c>
      <c r="F9" s="13">
        <f>SUM(D9:E9)</f>
        <v>19.049999999999997</v>
      </c>
      <c r="G9" s="11">
        <f t="shared" si="0"/>
        <v>9.6</v>
      </c>
      <c r="H9" s="11" t="b">
        <f t="shared" si="1"/>
        <v>0</v>
      </c>
      <c r="I9" s="11">
        <f t="shared" si="2"/>
        <v>9.4499999999999993</v>
      </c>
      <c r="J9" s="11" t="b">
        <f t="shared" si="3"/>
        <v>0</v>
      </c>
      <c r="L9" s="12" t="s">
        <v>8</v>
      </c>
      <c r="M9" s="149">
        <v>1162</v>
      </c>
      <c r="N9" t="s">
        <v>204</v>
      </c>
      <c r="O9" s="13">
        <v>9.5</v>
      </c>
      <c r="P9" s="13">
        <v>8.5500000000000007</v>
      </c>
      <c r="Q9" s="13">
        <f>SUM(O9:P9)</f>
        <v>18.05</v>
      </c>
      <c r="R9" s="117">
        <f t="shared" si="4"/>
        <v>9.5</v>
      </c>
      <c r="S9" s="117" t="b">
        <f t="shared" si="5"/>
        <v>0</v>
      </c>
      <c r="T9" s="117">
        <f t="shared" si="6"/>
        <v>8.5500000000000007</v>
      </c>
      <c r="U9" s="117" t="b">
        <f t="shared" si="7"/>
        <v>0</v>
      </c>
      <c r="V9" s="1"/>
      <c r="W9" s="102"/>
      <c r="X9" s="102"/>
      <c r="Y9" s="103"/>
      <c r="Z9" s="73"/>
      <c r="AA9" s="73"/>
      <c r="AB9" s="73"/>
      <c r="AC9" s="11" t="b">
        <f t="shared" si="8"/>
        <v>0</v>
      </c>
      <c r="AD9" s="11" t="b">
        <f t="shared" si="9"/>
        <v>0</v>
      </c>
      <c r="AE9" s="11" t="b">
        <f t="shared" si="10"/>
        <v>0</v>
      </c>
      <c r="AF9" s="11" t="b">
        <f t="shared" si="11"/>
        <v>0</v>
      </c>
    </row>
    <row r="10" spans="1:81">
      <c r="A10" s="12" t="s">
        <v>8</v>
      </c>
      <c r="B10" s="149">
        <v>1157</v>
      </c>
      <c r="C10" s="97"/>
      <c r="D10" s="13">
        <v>0</v>
      </c>
      <c r="E10" s="13">
        <v>0</v>
      </c>
      <c r="F10" s="13">
        <f t="shared" ref="F10:F13" si="12">SUM(D10:E10)</f>
        <v>0</v>
      </c>
      <c r="G10" s="11">
        <f t="shared" si="0"/>
        <v>0</v>
      </c>
      <c r="H10" s="11" t="b">
        <f t="shared" si="1"/>
        <v>0</v>
      </c>
      <c r="I10" s="11">
        <f t="shared" si="2"/>
        <v>0</v>
      </c>
      <c r="J10" s="11" t="b">
        <f t="shared" si="3"/>
        <v>0</v>
      </c>
      <c r="L10" s="12" t="s">
        <v>8</v>
      </c>
      <c r="M10" s="149">
        <v>1163</v>
      </c>
      <c r="N10" s="97"/>
      <c r="O10" s="13">
        <v>0</v>
      </c>
      <c r="P10" s="13">
        <v>0</v>
      </c>
      <c r="Q10" s="13">
        <f t="shared" ref="Q10:Q13" si="13">SUM(O10:P10)</f>
        <v>0</v>
      </c>
      <c r="R10" s="117" t="b">
        <f>IF(L11="M",O10)</f>
        <v>0</v>
      </c>
      <c r="S10" s="117">
        <f>IF(L11="F",O10)</f>
        <v>0</v>
      </c>
      <c r="T10" s="117" t="b">
        <f>IF(L11="M",P10)</f>
        <v>0</v>
      </c>
      <c r="U10" s="117">
        <f>IF(L11="F",P10)</f>
        <v>0</v>
      </c>
      <c r="V10" s="1"/>
      <c r="W10" s="102"/>
      <c r="X10" s="102"/>
      <c r="Y10" s="103"/>
      <c r="Z10" s="73"/>
      <c r="AA10" s="73"/>
      <c r="AB10" s="73"/>
      <c r="AC10" s="11" t="b">
        <f t="shared" si="8"/>
        <v>0</v>
      </c>
      <c r="AD10" s="11" t="b">
        <f t="shared" si="9"/>
        <v>0</v>
      </c>
      <c r="AE10" s="11" t="b">
        <f t="shared" si="10"/>
        <v>0</v>
      </c>
      <c r="AF10" s="11" t="b">
        <f t="shared" si="11"/>
        <v>0</v>
      </c>
    </row>
    <row r="11" spans="1:81">
      <c r="A11" s="12" t="s">
        <v>9</v>
      </c>
      <c r="B11" s="149">
        <v>1158</v>
      </c>
      <c r="C11" s="93" t="s">
        <v>509</v>
      </c>
      <c r="D11" s="14">
        <v>9.1999999999999993</v>
      </c>
      <c r="E11" s="14">
        <v>9.35</v>
      </c>
      <c r="F11" s="13">
        <f t="shared" si="12"/>
        <v>18.549999999999997</v>
      </c>
      <c r="G11" s="15" t="b">
        <f t="shared" si="0"/>
        <v>0</v>
      </c>
      <c r="H11" s="15">
        <f t="shared" si="1"/>
        <v>9.1999999999999993</v>
      </c>
      <c r="I11" s="15" t="b">
        <f t="shared" si="2"/>
        <v>0</v>
      </c>
      <c r="J11" s="15">
        <f t="shared" si="3"/>
        <v>9.35</v>
      </c>
      <c r="K11" s="8"/>
      <c r="L11" s="12" t="s">
        <v>9</v>
      </c>
      <c r="M11" s="149">
        <v>1164</v>
      </c>
      <c r="N11" s="93" t="s">
        <v>498</v>
      </c>
      <c r="O11" s="14">
        <v>9.4</v>
      </c>
      <c r="P11" s="14">
        <v>9.1</v>
      </c>
      <c r="Q11" s="13">
        <f t="shared" si="13"/>
        <v>18.5</v>
      </c>
      <c r="R11" s="23" t="b">
        <f>IF(L12="M",O11)</f>
        <v>0</v>
      </c>
      <c r="S11" s="23">
        <f>IF(L12="F",O11)</f>
        <v>9.4</v>
      </c>
      <c r="T11" s="23" t="b">
        <f>IF(L12="M",P11)</f>
        <v>0</v>
      </c>
      <c r="U11" s="23">
        <f>IF(L12="F",P11)</f>
        <v>9.1</v>
      </c>
      <c r="V11" s="106"/>
      <c r="W11" s="102"/>
      <c r="X11" s="102"/>
      <c r="Y11" s="103"/>
      <c r="Z11" s="68"/>
      <c r="AA11" s="68"/>
      <c r="AB11" s="73"/>
      <c r="AC11" s="15" t="b">
        <f t="shared" si="8"/>
        <v>0</v>
      </c>
      <c r="AD11" s="15" t="b">
        <f t="shared" si="9"/>
        <v>0</v>
      </c>
      <c r="AE11" s="15" t="b">
        <f t="shared" si="10"/>
        <v>0</v>
      </c>
      <c r="AF11" s="15" t="b">
        <f t="shared" si="11"/>
        <v>0</v>
      </c>
      <c r="AG11" s="8"/>
    </row>
    <row r="12" spans="1:81">
      <c r="A12" s="12" t="s">
        <v>9</v>
      </c>
      <c r="B12" s="149">
        <v>1159</v>
      </c>
      <c r="C12" s="93" t="s">
        <v>497</v>
      </c>
      <c r="D12" s="14">
        <v>9.6999999999999993</v>
      </c>
      <c r="E12" s="14">
        <v>9.15</v>
      </c>
      <c r="F12" s="13">
        <f t="shared" si="12"/>
        <v>18.850000000000001</v>
      </c>
      <c r="G12" s="15" t="b">
        <f t="shared" si="0"/>
        <v>0</v>
      </c>
      <c r="H12" s="15">
        <f t="shared" si="1"/>
        <v>9.6999999999999993</v>
      </c>
      <c r="I12" s="15" t="b">
        <f t="shared" si="2"/>
        <v>0</v>
      </c>
      <c r="J12" s="15">
        <f t="shared" si="3"/>
        <v>9.15</v>
      </c>
      <c r="K12" s="8"/>
      <c r="L12" s="12" t="s">
        <v>9</v>
      </c>
      <c r="M12" s="149">
        <v>1165</v>
      </c>
      <c r="N12" s="93" t="s">
        <v>501</v>
      </c>
      <c r="O12" s="14">
        <v>9.6999999999999993</v>
      </c>
      <c r="P12" s="14">
        <v>9.0500000000000007</v>
      </c>
      <c r="Q12" s="13">
        <f t="shared" si="13"/>
        <v>18.75</v>
      </c>
      <c r="R12" s="23" t="b">
        <f>IF(L13="M",O12)</f>
        <v>0</v>
      </c>
      <c r="S12" s="23">
        <f>IF(L13="F",O12)</f>
        <v>9.6999999999999993</v>
      </c>
      <c r="T12" s="23" t="b">
        <f>IF(L13="M",P12)</f>
        <v>0</v>
      </c>
      <c r="U12" s="23">
        <f>IF(L13="F",P12)</f>
        <v>9.0500000000000007</v>
      </c>
      <c r="V12" s="106"/>
      <c r="W12" s="102"/>
      <c r="X12" s="102"/>
      <c r="Y12" s="103"/>
      <c r="Z12" s="68"/>
      <c r="AA12" s="68"/>
      <c r="AB12" s="73"/>
      <c r="AC12" s="15" t="b">
        <f t="shared" si="8"/>
        <v>0</v>
      </c>
      <c r="AD12" s="15" t="b">
        <f t="shared" si="9"/>
        <v>0</v>
      </c>
      <c r="AE12" s="15" t="b">
        <f t="shared" si="10"/>
        <v>0</v>
      </c>
      <c r="AF12" s="15" t="b">
        <f t="shared" si="11"/>
        <v>0</v>
      </c>
      <c r="AG12" s="8"/>
    </row>
    <row r="13" spans="1:81" ht="16.5" thickBot="1">
      <c r="A13" s="12" t="s">
        <v>9</v>
      </c>
      <c r="B13" s="149">
        <v>1160</v>
      </c>
      <c r="C13" s="93" t="s">
        <v>507</v>
      </c>
      <c r="D13" s="14">
        <v>9.6999999999999993</v>
      </c>
      <c r="E13" s="14">
        <v>9.3000000000000007</v>
      </c>
      <c r="F13" s="13">
        <f t="shared" si="12"/>
        <v>19</v>
      </c>
      <c r="G13" s="15" t="b">
        <f t="shared" si="0"/>
        <v>0</v>
      </c>
      <c r="H13" s="15">
        <f t="shared" si="1"/>
        <v>9.6999999999999993</v>
      </c>
      <c r="I13" s="15" t="b">
        <f t="shared" si="2"/>
        <v>0</v>
      </c>
      <c r="J13" s="15">
        <f t="shared" si="3"/>
        <v>9.3000000000000007</v>
      </c>
      <c r="K13" s="8"/>
      <c r="L13" s="12" t="s">
        <v>9</v>
      </c>
      <c r="M13" s="149">
        <v>1166</v>
      </c>
      <c r="N13" s="93" t="s">
        <v>495</v>
      </c>
      <c r="O13" s="14">
        <v>10</v>
      </c>
      <c r="P13" s="14">
        <v>9.15</v>
      </c>
      <c r="Q13" s="13">
        <f t="shared" si="13"/>
        <v>19.149999999999999</v>
      </c>
      <c r="R13" s="23">
        <f>IF(L10="M",O13)</f>
        <v>10</v>
      </c>
      <c r="S13" s="23" t="b">
        <f>IF(L10="F",O13)</f>
        <v>0</v>
      </c>
      <c r="T13" s="23">
        <f>IF(L10="M",P13)</f>
        <v>9.15</v>
      </c>
      <c r="U13" s="23" t="b">
        <f>IF(L10="F",P13)</f>
        <v>0</v>
      </c>
      <c r="V13" s="106"/>
      <c r="W13" s="102"/>
      <c r="X13" s="102"/>
      <c r="Y13" s="103"/>
      <c r="Z13" s="68"/>
      <c r="AA13" s="68"/>
      <c r="AB13" s="73"/>
      <c r="AC13" s="15" t="b">
        <f t="shared" si="8"/>
        <v>0</v>
      </c>
      <c r="AD13" s="15" t="b">
        <f t="shared" si="9"/>
        <v>0</v>
      </c>
      <c r="AE13" s="15" t="b">
        <f t="shared" si="10"/>
        <v>0</v>
      </c>
      <c r="AF13" s="15" t="b">
        <f t="shared" si="11"/>
        <v>0</v>
      </c>
      <c r="AG13" s="8"/>
    </row>
    <row r="14" spans="1:81" ht="16.5" thickBot="1">
      <c r="A14" s="8"/>
      <c r="B14" s="8"/>
      <c r="C14" s="18" t="s">
        <v>10</v>
      </c>
      <c r="D14" s="19">
        <f>G15+H15</f>
        <v>38.599999999999994</v>
      </c>
      <c r="E14" s="19">
        <f>I15+J15</f>
        <v>36.799999999999997</v>
      </c>
      <c r="F14" s="20">
        <f>SUM(D14:E14)</f>
        <v>75.399999999999991</v>
      </c>
      <c r="G14" s="8">
        <f>COUNTIF(A8:A13,"M")</f>
        <v>3</v>
      </c>
      <c r="H14" s="8">
        <f>COUNTIF(A8:A13,"F")</f>
        <v>3</v>
      </c>
      <c r="I14" s="8">
        <f>COUNTIF(A8:A13,"M")</f>
        <v>3</v>
      </c>
      <c r="J14" s="8">
        <f>COUNTIF(A8:A13,"F")</f>
        <v>3</v>
      </c>
      <c r="K14" s="8"/>
      <c r="L14" s="8"/>
      <c r="M14" s="8"/>
      <c r="N14" s="18" t="s">
        <v>10</v>
      </c>
      <c r="O14" s="19">
        <v>38.4</v>
      </c>
      <c r="P14" s="19">
        <v>36.1</v>
      </c>
      <c r="Q14" s="20">
        <f>SUM(O14:P14)</f>
        <v>74.5</v>
      </c>
      <c r="R14" s="106">
        <f>COUNTIF(L8:L10,"M")</f>
        <v>3</v>
      </c>
      <c r="S14" s="106">
        <f>COUNTIF(L8:L10,"F")</f>
        <v>0</v>
      </c>
      <c r="T14" s="106">
        <f>COUNTIF(L8:L10,"M")</f>
        <v>3</v>
      </c>
      <c r="U14" s="106">
        <f>COUNTIF(L8:L10,"F")</f>
        <v>0</v>
      </c>
      <c r="V14" s="106"/>
      <c r="W14" s="106"/>
      <c r="X14" s="106"/>
      <c r="Y14" s="84"/>
      <c r="Z14" s="64"/>
      <c r="AA14" s="64"/>
      <c r="AB14" s="105"/>
      <c r="AC14" s="8">
        <f>COUNTIF(W8:W13,"M")</f>
        <v>0</v>
      </c>
      <c r="AD14" s="8">
        <f>COUNTIF(W8:W13,"F")</f>
        <v>0</v>
      </c>
      <c r="AE14" s="8">
        <f>COUNTIF(W8:W13,"M")</f>
        <v>0</v>
      </c>
      <c r="AF14" s="8">
        <f>COUNTIF(W8:W13,"F")</f>
        <v>0</v>
      </c>
      <c r="AG14" s="8"/>
    </row>
    <row r="15" spans="1:81">
      <c r="A15" s="8"/>
      <c r="B15" s="21"/>
      <c r="C15" s="94" t="s">
        <v>1302</v>
      </c>
      <c r="D15" s="8"/>
      <c r="E15" s="18"/>
      <c r="F15" s="22"/>
      <c r="G15" s="23">
        <f>IF(G14=2,SUM(G8:G13),IF(G14=3,SUM(G8:G13)-SMALL(G8:G13,1),IF(G14=4,SUM(G8:G13)-SMALL(G8:G13,1)-SMALL(G8:G13,2))))</f>
        <v>19.2</v>
      </c>
      <c r="H15" s="23">
        <f>IF(H14=2,SUM(H8:H13),IF(H14=3,SUM(H8:H13)-SMALL(H8:H13,1),IF(H14=4,SUM(H8:H13)-SMALL(H8:H13,1)-SMALL(H8:H13,2))))</f>
        <v>19.399999999999999</v>
      </c>
      <c r="I15" s="23">
        <f>IF(I14=2,SUM(I8:I13),IF(I14=3,SUM(I8:I13)-SMALL(I8:I13,1),IF(I14=4,SUM(I8:I13)-SMALL(I8:I13,1)-SMALL(I8:I13,2))))</f>
        <v>18.149999999999999</v>
      </c>
      <c r="J15" s="23">
        <f>IF(J14=2,SUM(J8:J13),IF(J14=3,SUM(J8:J13)-SMALL(J8:J13,1),IF(J14=4,SUM(J8:J13)-SMALL(J8:J13,1)-SMALL(J8:J13,2))))</f>
        <v>18.649999999999999</v>
      </c>
      <c r="K15" s="8"/>
      <c r="L15" s="8"/>
      <c r="M15" s="21"/>
      <c r="N15" s="94" t="s">
        <v>1302</v>
      </c>
      <c r="O15" s="8"/>
      <c r="P15" s="18"/>
      <c r="Q15" s="22"/>
      <c r="R15" s="23">
        <f>IF(R14=2,SUM(R8:R13),IF(R14=3,SUM(R8:R13)-SMALL(R8:R13,1),IF(R14=4,SUM(R8:R13)-SMALL(R8:R13,1)-SMALL(R8:R13,2))))</f>
        <v>19.5</v>
      </c>
      <c r="S15" s="23" t="b">
        <f>IF(S14=2,SUM(S8:S13),IF(S14=3,SUM(S8:S13)-SMALL(S8:S13,1),IF(S14=4,SUM(S8:S13)-SMALL(S8:S13,1)-SMALL(S8:S13,2))))</f>
        <v>0</v>
      </c>
      <c r="T15" s="23">
        <f>IF(T14=2,SUM(T8:T13),IF(T14=3,SUM(T8:T13)-SMALL(T8:T13,1),IF(T14=4,SUM(T8:T13)-SMALL(T8:T13,1)-SMALL(T8:T13,2))))</f>
        <v>18.45</v>
      </c>
      <c r="U15" s="23" t="b">
        <f>IF(U14=2,SUM(U8:U13),IF(U14=3,SUM(U8:U13)-SMALL(U8:U13,1),IF(U14=4,SUM(U8:U13)-SMALL(U8:U13,1)-SMALL(U8:U13,2))))</f>
        <v>0</v>
      </c>
      <c r="V15" s="8"/>
      <c r="W15" s="8"/>
      <c r="X15" s="21"/>
      <c r="Y15" s="8"/>
      <c r="Z15" s="8"/>
      <c r="AA15" s="18"/>
      <c r="AB15" s="22"/>
      <c r="AC15" s="23" t="b">
        <f>IF(AC14=2,SUM(AC8:AC13),IF(AC14=3,SUM(AC8:AC13)-SMALL(AC8:AC13,1),IF(AC14=4,SUM(AC8:AC13)-SMALL(AC8:AC13,1)-SMALL(AC8:AC13,2))))</f>
        <v>0</v>
      </c>
      <c r="AD15" s="23" t="b">
        <f>IF(AD14=2,SUM(AD8:AD13),IF(AD14=3,SUM(AD8:AD13)-SMALL(AD8:AD13,1),IF(AD14=4,SUM(AD8:AD13)-SMALL(AD8:AD13,1)-SMALL(AD8:AD13,2))))</f>
        <v>0</v>
      </c>
      <c r="AE15" s="23" t="b">
        <f>IF(AE14=2,SUM(AE8:AE13),IF(AE14=3,SUM(AE8:AE13)-SMALL(AE8:AE13,1),IF(AE14=4,SUM(AE8:AE13)-SMALL(AE8:AE13,1)-SMALL(AE8:AE13,2))))</f>
        <v>0</v>
      </c>
      <c r="AF15" s="23" t="b">
        <f>IF(AF14=2,SUM(AF8:AF13),IF(AF14=3,SUM(AF8:AF13)-SMALL(AF8:AF13,1),IF(AF14=4,SUM(AF8:AF13)-SMALL(AF8:AF13,1)-SMALL(AF8:AF13,2))))</f>
        <v>0</v>
      </c>
      <c r="AG15" s="8"/>
    </row>
    <row r="16" spans="1:81">
      <c r="A16" s="113"/>
      <c r="B16" s="113"/>
      <c r="C16" s="113"/>
      <c r="D16" s="113"/>
      <c r="E16" s="113"/>
      <c r="F16" s="113"/>
    </row>
    <row r="17" spans="1:6">
      <c r="A17" s="111"/>
      <c r="B17" s="111"/>
      <c r="C17" s="111"/>
      <c r="D17" s="111"/>
      <c r="E17" s="111"/>
      <c r="F17" s="111"/>
    </row>
    <row r="18" spans="1:6">
      <c r="A18" s="102"/>
      <c r="B18" s="152"/>
      <c r="C18" s="110"/>
      <c r="D18" s="73"/>
      <c r="E18" s="73"/>
      <c r="F18" s="73"/>
    </row>
    <row r="19" spans="1:6">
      <c r="A19" s="102"/>
      <c r="B19" s="152"/>
      <c r="C19" s="1"/>
      <c r="D19" s="73"/>
      <c r="E19" s="73"/>
      <c r="F19" s="73"/>
    </row>
    <row r="20" spans="1:6">
      <c r="A20" s="102"/>
      <c r="B20" s="152"/>
      <c r="C20" s="110"/>
      <c r="D20" s="73"/>
      <c r="E20" s="73"/>
      <c r="F20" s="73"/>
    </row>
    <row r="21" spans="1:6">
      <c r="A21" s="102"/>
      <c r="B21" s="152"/>
      <c r="C21" s="110"/>
      <c r="D21" s="68"/>
      <c r="E21" s="68"/>
      <c r="F21" s="73"/>
    </row>
    <row r="22" spans="1:6">
      <c r="A22" s="102"/>
      <c r="B22" s="152"/>
      <c r="C22" s="110"/>
      <c r="D22" s="68"/>
      <c r="E22" s="68"/>
      <c r="F22" s="73"/>
    </row>
    <row r="23" spans="1:6">
      <c r="A23" s="102"/>
      <c r="B23" s="152"/>
      <c r="C23" s="110"/>
      <c r="D23" s="68"/>
      <c r="E23" s="68"/>
      <c r="F23" s="73"/>
    </row>
    <row r="24" spans="1:6">
      <c r="A24" s="106"/>
      <c r="B24" s="106"/>
      <c r="C24" s="84"/>
      <c r="D24" s="64"/>
      <c r="E24" s="64"/>
      <c r="F24" s="105"/>
    </row>
    <row r="25" spans="1:6">
      <c r="A25" s="1"/>
      <c r="B25" s="1"/>
      <c r="C25" s="1"/>
      <c r="D25" s="1"/>
      <c r="E25" s="1"/>
      <c r="F25" s="1"/>
    </row>
  </sheetData>
  <mergeCells count="5">
    <mergeCell ref="A1:AB1"/>
    <mergeCell ref="A2:AB2"/>
    <mergeCell ref="L4:O4"/>
    <mergeCell ref="A6:F6"/>
    <mergeCell ref="L6:Q6"/>
  </mergeCells>
  <phoneticPr fontId="21" type="noConversion"/>
  <conditionalFormatting sqref="AA7:AA8">
    <cfRule type="cellIs" dxfId="383" priority="1" operator="equal">
      <formula>3</formula>
    </cfRule>
    <cfRule type="cellIs" dxfId="382" priority="2" operator="equal">
      <formula>2</formula>
    </cfRule>
    <cfRule type="cellIs" dxfId="381" priority="3" operator="equal">
      <formula>1</formula>
    </cfRule>
  </conditionalFormatting>
  <pageMargins left="0.7" right="0.7" top="0.75" bottom="0.75" header="0.3" footer="0.3"/>
  <pageSetup paperSize="9" scale="71" orientation="landscape" horizontalDpi="4294967292" verticalDpi="4294967292"/>
  <colBreaks count="1" manualBreakCount="1">
    <brk id="33" max="1048575" man="1"/>
  </colBreaks>
  <ignoredErrors>
    <ignoredError sqref="Z8" calculatedColumn="1"/>
  </ignoredErrors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24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6.375" customWidth="1"/>
    <col min="2" max="2" width="17.5" bestFit="1" customWidth="1"/>
    <col min="3" max="4" width="7.5" bestFit="1" customWidth="1"/>
    <col min="5" max="5" width="7.375" bestFit="1" customWidth="1"/>
    <col min="6" max="6" width="0.5" customWidth="1"/>
    <col min="7" max="7" width="5" bestFit="1" customWidth="1"/>
    <col min="8" max="8" width="18.375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625" customWidth="1"/>
    <col min="22" max="22" width="6.375" customWidth="1"/>
    <col min="23" max="23" width="16.625" bestFit="1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70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0"/>
      <c r="BJ2" s="90"/>
    </row>
    <row r="3" spans="1:70" ht="28.5" customHeight="1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A4" s="8"/>
      <c r="E4" s="1"/>
      <c r="F4" s="1"/>
      <c r="G4" s="461" t="s">
        <v>130</v>
      </c>
      <c r="H4" s="474"/>
      <c r="I4" s="474"/>
      <c r="J4" s="475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6" spans="1:70" s="8" customFormat="1">
      <c r="A6" s="146" t="s">
        <v>1299</v>
      </c>
      <c r="B6" s="146"/>
      <c r="C6" s="146"/>
      <c r="D6" s="146"/>
      <c r="E6" s="146"/>
      <c r="F6" s="106"/>
      <c r="G6" s="333" t="s">
        <v>1330</v>
      </c>
      <c r="H6" s="223"/>
      <c r="I6" s="223"/>
      <c r="J6" s="223"/>
      <c r="K6" s="224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1"/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U7" s="33" t="s">
        <v>81</v>
      </c>
      <c r="V7" s="314">
        <v>1167</v>
      </c>
      <c r="W7" s="42" t="s">
        <v>678</v>
      </c>
      <c r="X7" s="305">
        <f>C8</f>
        <v>10</v>
      </c>
      <c r="Y7" s="283">
        <f>SUMPRODUCT((X$7:X$13&gt;X7)/COUNTIF(X$7:X$13,X$7:X$13&amp;""))+1</f>
        <v>1</v>
      </c>
      <c r="Z7" s="305">
        <f>D8</f>
        <v>8.5</v>
      </c>
      <c r="AA7" s="283">
        <f>SUMPRODUCT((Z$7:Z$13&gt;Z7)/COUNTIF(Z$7:Z$13,Z$7:Z$13&amp;""))+1</f>
        <v>5</v>
      </c>
      <c r="AB7" s="315">
        <f>Table3512131424391116222563[[#This Row],[Floor]]+Table3512131424391116222563[[#This Row],[Vault]]</f>
        <v>18.5</v>
      </c>
      <c r="AC7" s="283">
        <f>SUMPRODUCT((AB$7:AB$13&gt;AB7)/COUNTIF(AB$7:AB$13,AB$7:AB$13&amp;""))+1</f>
        <v>3</v>
      </c>
    </row>
    <row r="8" spans="1:70">
      <c r="A8" s="151">
        <v>1167</v>
      </c>
      <c r="B8" s="42" t="s">
        <v>678</v>
      </c>
      <c r="C8" s="13">
        <v>10</v>
      </c>
      <c r="D8" s="13">
        <v>8.5</v>
      </c>
      <c r="E8" s="13">
        <f>SUM(C8,D8)</f>
        <v>18.5</v>
      </c>
      <c r="F8" s="1"/>
      <c r="G8" s="149">
        <v>1168</v>
      </c>
      <c r="H8" s="93" t="s">
        <v>78</v>
      </c>
      <c r="I8" s="13">
        <v>9.6999999999999993</v>
      </c>
      <c r="J8" s="13">
        <v>9.4</v>
      </c>
      <c r="K8" s="13">
        <f>SUM(I8,J8)</f>
        <v>19.100000000000001</v>
      </c>
      <c r="U8" s="33" t="s">
        <v>87</v>
      </c>
      <c r="V8" s="327">
        <v>1168</v>
      </c>
      <c r="W8" s="93" t="s">
        <v>78</v>
      </c>
      <c r="X8" s="213">
        <f>I8</f>
        <v>9.6999999999999993</v>
      </c>
      <c r="Y8" s="283">
        <f t="shared" ref="Y8:Y13" si="0">SUMPRODUCT((X$7:X$13&gt;X8)/COUNTIF(X$7:X$13,X$7:X$13&amp;""))+1</f>
        <v>4</v>
      </c>
      <c r="Z8" s="213">
        <f>J8</f>
        <v>9.4</v>
      </c>
      <c r="AA8" s="283">
        <f t="shared" ref="AA8:AA13" si="1">SUMPRODUCT((Z$7:Z$13&gt;Z8)/COUNTIF(Z$7:Z$13,Z$7:Z$13&amp;""))+1</f>
        <v>1</v>
      </c>
      <c r="AB8" s="315">
        <f>Table3512131424391116222563[[#This Row],[Floor]]+Table3512131424391116222563[[#This Row],[Vault]]</f>
        <v>19.100000000000001</v>
      </c>
      <c r="AC8" s="283">
        <f t="shared" ref="AC8:AC13" si="2">SUMPRODUCT((AB$7:AB$13&gt;AB8)/COUNTIF(AB$7:AB$13,AB$7:AB$13&amp;""))+1</f>
        <v>1</v>
      </c>
    </row>
    <row r="9" spans="1:70">
      <c r="A9" s="152"/>
      <c r="B9" s="110"/>
      <c r="C9" s="73"/>
      <c r="D9" s="73"/>
      <c r="E9" s="73"/>
      <c r="G9" s="153"/>
      <c r="H9" s="1"/>
      <c r="I9" s="73"/>
      <c r="J9" s="73"/>
      <c r="K9" s="73"/>
      <c r="L9" s="1"/>
      <c r="U9" s="344" t="s">
        <v>1227</v>
      </c>
      <c r="V9" s="302">
        <v>1201</v>
      </c>
      <c r="W9" s="345" t="s">
        <v>208</v>
      </c>
      <c r="X9" s="312">
        <f>'ADV 15&amp;U MX'!D8</f>
        <v>9.9499999999999993</v>
      </c>
      <c r="Y9" s="283">
        <f t="shared" si="0"/>
        <v>2</v>
      </c>
      <c r="Z9" s="312">
        <f>'ADV 15&amp;U MX'!E8</f>
        <v>8.8000000000000007</v>
      </c>
      <c r="AA9" s="283">
        <f t="shared" si="1"/>
        <v>2</v>
      </c>
      <c r="AB9" s="317">
        <f>Table3512131424391116222563[[#This Row],[Floor]]+Table3512131424391116222563[[#This Row],[Vault]]</f>
        <v>18.75</v>
      </c>
      <c r="AC9" s="283">
        <f t="shared" si="2"/>
        <v>2</v>
      </c>
    </row>
    <row r="10" spans="1:70">
      <c r="A10" s="152"/>
      <c r="B10" s="110"/>
      <c r="C10" s="73"/>
      <c r="D10" s="73"/>
      <c r="E10" s="73"/>
      <c r="G10" s="153"/>
      <c r="H10" s="110"/>
      <c r="I10" s="73"/>
      <c r="J10" s="73"/>
      <c r="K10" s="73"/>
      <c r="L10" s="1"/>
      <c r="U10" s="344" t="s">
        <v>1227</v>
      </c>
      <c r="V10" s="310">
        <v>1202</v>
      </c>
      <c r="W10" s="346" t="s">
        <v>209</v>
      </c>
      <c r="X10" s="312">
        <f>'ADV 15&amp;U MX'!D9</f>
        <v>9.65</v>
      </c>
      <c r="Y10" s="283">
        <f t="shared" si="0"/>
        <v>5</v>
      </c>
      <c r="Z10" s="312">
        <f>'ADV 15&amp;U MX'!E9</f>
        <v>8.75</v>
      </c>
      <c r="AA10" s="283">
        <f t="shared" si="1"/>
        <v>3</v>
      </c>
      <c r="AB10" s="343">
        <f>Table3512131424391116222563[[#This Row],[Floor]]+Table3512131424391116222563[[#This Row],[Vault]]</f>
        <v>18.399999999999999</v>
      </c>
      <c r="AC10" s="283">
        <f t="shared" si="2"/>
        <v>4</v>
      </c>
    </row>
    <row r="11" spans="1:70">
      <c r="A11" s="152"/>
      <c r="B11" s="110"/>
      <c r="C11" s="73"/>
      <c r="D11" s="73"/>
      <c r="E11" s="73"/>
      <c r="L11" s="1"/>
      <c r="M11" s="102"/>
      <c r="N11" s="103"/>
      <c r="O11" s="73"/>
      <c r="P11" s="73"/>
      <c r="Q11" s="73"/>
      <c r="U11" s="344" t="s">
        <v>1227</v>
      </c>
      <c r="V11" s="302">
        <v>1207</v>
      </c>
      <c r="W11" s="345" t="s">
        <v>213</v>
      </c>
      <c r="X11" s="312">
        <f>'ADV 15&amp;U MX'!O8</f>
        <v>9.5</v>
      </c>
      <c r="Y11" s="283">
        <f t="shared" si="0"/>
        <v>6</v>
      </c>
      <c r="Z11" s="312">
        <f>'ADV 15&amp;U MX'!P8</f>
        <v>8.5500000000000007</v>
      </c>
      <c r="AA11" s="283">
        <f t="shared" si="1"/>
        <v>4</v>
      </c>
      <c r="AB11" s="317">
        <f>Table3512131424391116222563[[#This Row],[Floor]]+Table3512131424391116222563[[#This Row],[Vault]]</f>
        <v>18.05</v>
      </c>
      <c r="AC11" s="283">
        <f t="shared" si="2"/>
        <v>6</v>
      </c>
    </row>
    <row r="12" spans="1:70">
      <c r="A12" s="152"/>
      <c r="B12" s="110"/>
      <c r="C12" s="73"/>
      <c r="D12" s="73"/>
      <c r="E12" s="73"/>
      <c r="L12" s="1"/>
      <c r="M12" s="102"/>
      <c r="N12" s="103"/>
      <c r="O12" s="73"/>
      <c r="P12" s="73"/>
      <c r="Q12" s="73"/>
      <c r="U12" s="344" t="s">
        <v>1227</v>
      </c>
      <c r="V12" s="302">
        <v>1208</v>
      </c>
      <c r="W12" s="345" t="s">
        <v>212</v>
      </c>
      <c r="X12" s="312">
        <f>'ADV 15&amp;U MX'!O9</f>
        <v>9.85</v>
      </c>
      <c r="Y12" s="283">
        <f t="shared" si="0"/>
        <v>3</v>
      </c>
      <c r="Z12" s="312">
        <f>'ADV 15&amp;U MX'!P9</f>
        <v>8.5</v>
      </c>
      <c r="AA12" s="283">
        <f t="shared" si="1"/>
        <v>5</v>
      </c>
      <c r="AB12" s="317">
        <f>Table3512131424391116222563[[#This Row],[Floor]]+Table3512131424391116222563[[#This Row],[Vault]]</f>
        <v>18.350000000000001</v>
      </c>
      <c r="AC12" s="283">
        <f t="shared" si="2"/>
        <v>5</v>
      </c>
    </row>
    <row r="13" spans="1:70">
      <c r="A13" s="152"/>
      <c r="B13" s="110"/>
      <c r="C13" s="73"/>
      <c r="D13" s="73"/>
      <c r="E13" s="73"/>
      <c r="F13" s="8"/>
      <c r="L13" s="106"/>
      <c r="M13" s="102"/>
      <c r="N13" s="103"/>
      <c r="O13" s="73"/>
      <c r="P13" s="73"/>
      <c r="Q13" s="68"/>
      <c r="U13" s="451" t="s">
        <v>1227</v>
      </c>
      <c r="V13" s="452">
        <v>1209</v>
      </c>
      <c r="W13" s="453" t="s">
        <v>211</v>
      </c>
      <c r="X13" s="454">
        <f>'ADV 15&amp;U MX'!O10</f>
        <v>0</v>
      </c>
      <c r="Y13" s="402">
        <f t="shared" si="0"/>
        <v>7</v>
      </c>
      <c r="Z13" s="454">
        <f>'ADV 15&amp;U MX'!P10</f>
        <v>0</v>
      </c>
      <c r="AA13" s="402">
        <f t="shared" si="1"/>
        <v>6</v>
      </c>
      <c r="AB13" s="455">
        <f>Table3512131424391116222563[[#This Row],[Floor]]+Table3512131424391116222563[[#This Row],[Vault]]</f>
        <v>0</v>
      </c>
      <c r="AC13" s="402">
        <f t="shared" si="2"/>
        <v>7</v>
      </c>
    </row>
    <row r="14" spans="1:70">
      <c r="A14" s="1"/>
      <c r="B14" s="104"/>
      <c r="C14" s="64"/>
      <c r="D14" s="64"/>
      <c r="E14" s="105"/>
      <c r="F14" s="8"/>
      <c r="L14" s="106"/>
      <c r="M14" s="1"/>
      <c r="N14" s="104"/>
      <c r="O14" s="64"/>
      <c r="P14" s="64"/>
      <c r="Q14" s="105"/>
      <c r="AA14"/>
      <c r="AB14"/>
      <c r="AC14"/>
    </row>
    <row r="15" spans="1:70">
      <c r="A15" s="1"/>
      <c r="B15" s="121"/>
      <c r="C15" s="1"/>
      <c r="D15" s="104"/>
      <c r="E15" s="115"/>
      <c r="L15" s="1"/>
      <c r="M15" s="1"/>
      <c r="N15" s="114"/>
      <c r="O15" s="1"/>
      <c r="P15" s="104"/>
      <c r="Q15" s="115"/>
      <c r="AA15"/>
      <c r="AB15"/>
      <c r="AC15"/>
    </row>
    <row r="16" spans="1:70">
      <c r="AA16"/>
      <c r="AB16"/>
      <c r="AC16"/>
    </row>
    <row r="17" spans="2:20">
      <c r="N17" s="45"/>
      <c r="O17" s="47"/>
      <c r="P17" s="40"/>
    </row>
    <row r="18" spans="2:20">
      <c r="N18" s="45"/>
      <c r="O18" s="46"/>
      <c r="P18" s="40"/>
    </row>
    <row r="19" spans="2:20">
      <c r="N19" s="45"/>
      <c r="O19" s="46"/>
      <c r="P19" s="40"/>
    </row>
    <row r="20" spans="2:20">
      <c r="N20" s="45"/>
      <c r="O20" s="46"/>
      <c r="P20" s="40"/>
      <c r="Q20" s="41"/>
      <c r="R20" s="41"/>
      <c r="S20" s="41"/>
      <c r="T20" s="41"/>
    </row>
    <row r="21" spans="2:20">
      <c r="N21" s="45"/>
      <c r="O21" s="46"/>
      <c r="P21" s="40"/>
      <c r="Q21" s="41"/>
      <c r="R21" s="41"/>
      <c r="S21" s="41"/>
      <c r="T21" s="41"/>
    </row>
    <row r="22" spans="2:20">
      <c r="Q22" s="41"/>
      <c r="R22" s="41"/>
      <c r="S22" s="41"/>
      <c r="T22" s="41"/>
    </row>
    <row r="23" spans="2:20">
      <c r="B23" s="24"/>
      <c r="D23" s="25"/>
      <c r="E23" s="26"/>
      <c r="Q23" s="41"/>
      <c r="R23" s="41"/>
      <c r="S23" s="41"/>
      <c r="T23" s="41"/>
    </row>
    <row r="24" spans="2:20">
      <c r="Q24" s="41"/>
      <c r="R24" s="41"/>
      <c r="S24" s="41"/>
      <c r="T24" s="41"/>
    </row>
  </sheetData>
  <mergeCells count="3">
    <mergeCell ref="A1:AC1"/>
    <mergeCell ref="A2:AC2"/>
    <mergeCell ref="G4:J4"/>
  </mergeCells>
  <phoneticPr fontId="21" type="noConversion"/>
  <conditionalFormatting sqref="Y7:Y13">
    <cfRule type="cellIs" dxfId="377" priority="13" operator="equal">
      <formula>3</formula>
    </cfRule>
    <cfRule type="cellIs" dxfId="376" priority="14" operator="equal">
      <formula>2</formula>
    </cfRule>
    <cfRule type="cellIs" dxfId="375" priority="15" operator="equal">
      <formula>1</formula>
    </cfRule>
  </conditionalFormatting>
  <conditionalFormatting sqref="AA7:AA13">
    <cfRule type="cellIs" dxfId="374" priority="4" operator="equal">
      <formula>3</formula>
    </cfRule>
    <cfRule type="cellIs" dxfId="373" priority="5" operator="equal">
      <formula>2</formula>
    </cfRule>
    <cfRule type="cellIs" dxfId="372" priority="6" operator="equal">
      <formula>1</formula>
    </cfRule>
  </conditionalFormatting>
  <conditionalFormatting sqref="AC7:AC13">
    <cfRule type="cellIs" dxfId="371" priority="1" operator="equal">
      <formula>3</formula>
    </cfRule>
    <cfRule type="cellIs" dxfId="370" priority="2" operator="equal">
      <formula>2</formula>
    </cfRule>
    <cfRule type="cellIs" dxfId="369" priority="3" operator="equal">
      <formula>1</formula>
    </cfRule>
  </conditionalFormatting>
  <pageMargins left="0.75" right="0.75" top="1" bottom="1" header="0.5" footer="0.5"/>
  <pageSetup paperSize="9" scale="55" orientation="landscape" horizontalDpi="4294967292" verticalDpi="4294967292"/>
  <colBreaks count="1" manualBreakCount="1">
    <brk id="29" max="1048575" man="1"/>
  </colBreaks>
  <ignoredErrors>
    <ignoredError sqref="Z8:Z13 Z7" formula="1"/>
  </ignoredErrors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J55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375" customWidth="1"/>
    <col min="2" max="2" width="19.125" bestFit="1" customWidth="1"/>
    <col min="3" max="4" width="7.5" bestFit="1" customWidth="1"/>
    <col min="5" max="5" width="7.375" bestFit="1" customWidth="1"/>
    <col min="6" max="6" width="0.5" customWidth="1"/>
    <col min="7" max="7" width="5.37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6" customWidth="1"/>
    <col min="14" max="14" width="22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875" customWidth="1"/>
    <col min="22" max="22" width="6.875" customWidth="1"/>
    <col min="23" max="23" width="20.875" bestFit="1" customWidth="1"/>
    <col min="24" max="24" width="7.375" customWidth="1"/>
    <col min="25" max="25" width="5.375" style="53" customWidth="1"/>
    <col min="26" max="26" width="9" customWidth="1"/>
    <col min="27" max="27" width="6" style="57" customWidth="1"/>
    <col min="28" max="28" width="9.375" style="39" customWidth="1"/>
    <col min="29" max="29" width="5.875" style="60" customWidth="1"/>
  </cols>
  <sheetData>
    <row r="1" spans="1:62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62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0"/>
      <c r="BJ2" s="90"/>
    </row>
    <row r="3" spans="1:62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">
      <c r="A4" s="8"/>
      <c r="E4" s="1"/>
      <c r="F4" s="1"/>
      <c r="G4" s="464" t="s">
        <v>131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6" spans="1:62" s="8" customFormat="1">
      <c r="A6" s="333" t="s">
        <v>625</v>
      </c>
      <c r="B6" s="71"/>
      <c r="C6" s="71"/>
      <c r="D6" s="71"/>
      <c r="E6" s="72"/>
      <c r="G6" s="333" t="s">
        <v>85</v>
      </c>
      <c r="H6" s="71"/>
      <c r="I6" s="71"/>
      <c r="J6" s="71"/>
      <c r="K6" s="72"/>
      <c r="M6" s="333" t="s">
        <v>304</v>
      </c>
      <c r="N6" s="135"/>
      <c r="O6" s="135"/>
      <c r="P6" s="135"/>
      <c r="Q6" s="136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62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16" t="s">
        <v>626</v>
      </c>
      <c r="V7" s="151">
        <v>1170</v>
      </c>
      <c r="W7" s="99" t="s">
        <v>627</v>
      </c>
      <c r="X7" s="14">
        <f>C8</f>
        <v>9.5500000000000007</v>
      </c>
      <c r="Y7" s="283">
        <f t="shared" ref="Y7:Y38" si="0">SUMPRODUCT((X$7:X$38&gt;X7)/COUNTIF(X$7:X$38,X$7:X$38&amp;""))+1</f>
        <v>7.9999999999999991</v>
      </c>
      <c r="Z7" s="14">
        <f>D8</f>
        <v>8.9</v>
      </c>
      <c r="AA7" s="283">
        <f t="shared" ref="AA7:AA38" si="1">SUMPRODUCT((Z$7:Z$38&gt;Z7)/COUNTIF(Z$7:Z$38,Z$7:Z$38&amp;""))+1</f>
        <v>2</v>
      </c>
      <c r="AB7" s="69">
        <f>Table351550571318293133[[#This Row],[Floor4]]+Table351550571318293133[[#This Row],[Vault6]]</f>
        <v>18.450000000000003</v>
      </c>
      <c r="AC7" s="283">
        <f t="shared" ref="AC7:AC38" si="2">SUMPRODUCT((AB$7:AB$38&gt;AB7)/COUNTIF(AB$7:AB$38,AB$7:AB$38&amp;""))+1</f>
        <v>5</v>
      </c>
    </row>
    <row r="8" spans="1:62">
      <c r="A8" s="151">
        <v>1170</v>
      </c>
      <c r="B8" s="99" t="s">
        <v>627</v>
      </c>
      <c r="C8" s="13">
        <v>9.5500000000000007</v>
      </c>
      <c r="D8" s="13">
        <v>8.9</v>
      </c>
      <c r="E8" s="13">
        <f>SUM(C8,D8)</f>
        <v>18.450000000000003</v>
      </c>
      <c r="G8" s="151">
        <v>1176</v>
      </c>
      <c r="H8" s="97"/>
      <c r="I8" s="13">
        <v>0</v>
      </c>
      <c r="J8" s="13">
        <v>0</v>
      </c>
      <c r="K8" s="13">
        <f>SUM(I8,J8)</f>
        <v>0</v>
      </c>
      <c r="M8" s="151">
        <v>1182</v>
      </c>
      <c r="N8" s="99" t="s">
        <v>316</v>
      </c>
      <c r="O8" s="13">
        <v>9.3000000000000007</v>
      </c>
      <c r="P8" s="13">
        <v>8.5500000000000007</v>
      </c>
      <c r="Q8" s="13">
        <f>SUM(O8,P8)</f>
        <v>17.850000000000001</v>
      </c>
      <c r="U8" s="16" t="s">
        <v>626</v>
      </c>
      <c r="V8" s="151">
        <v>1171</v>
      </c>
      <c r="W8" s="99" t="s">
        <v>628</v>
      </c>
      <c r="X8" s="14">
        <f t="shared" ref="X8" si="3">C9</f>
        <v>9.3000000000000007</v>
      </c>
      <c r="Y8" s="283">
        <f t="shared" si="0"/>
        <v>12.000000000000002</v>
      </c>
      <c r="Z8" s="14">
        <f t="shared" ref="Z8" si="4">D9</f>
        <v>7.5</v>
      </c>
      <c r="AA8" s="283">
        <f t="shared" si="1"/>
        <v>17</v>
      </c>
      <c r="AB8" s="69">
        <f>Table351550571318293133[[#This Row],[Floor4]]+Table351550571318293133[[#This Row],[Vault6]]</f>
        <v>16.8</v>
      </c>
      <c r="AC8" s="283">
        <f t="shared" si="2"/>
        <v>21.999999999999996</v>
      </c>
    </row>
    <row r="9" spans="1:62">
      <c r="A9" s="151">
        <v>1171</v>
      </c>
      <c r="B9" s="99" t="s">
        <v>628</v>
      </c>
      <c r="C9" s="13">
        <v>9.3000000000000007</v>
      </c>
      <c r="D9" s="13">
        <v>7.5</v>
      </c>
      <c r="E9" s="13">
        <f t="shared" ref="E9:E13" si="5">SUM(C9,D9)</f>
        <v>16.8</v>
      </c>
      <c r="G9" s="151">
        <v>1177</v>
      </c>
      <c r="H9" s="99" t="s">
        <v>708</v>
      </c>
      <c r="I9" s="13">
        <v>9.5</v>
      </c>
      <c r="J9" s="13">
        <v>9</v>
      </c>
      <c r="K9" s="13">
        <f t="shared" ref="K9:K13" si="6">SUM(I9,J9)</f>
        <v>18.5</v>
      </c>
      <c r="M9" s="396">
        <v>1183</v>
      </c>
      <c r="N9" s="411" t="s">
        <v>546</v>
      </c>
      <c r="O9" s="398">
        <v>0</v>
      </c>
      <c r="P9" s="398">
        <v>0</v>
      </c>
      <c r="Q9" s="398">
        <f t="shared" ref="Q9:Q13" si="7">SUM(O9,P9)</f>
        <v>0</v>
      </c>
      <c r="U9" s="16" t="s">
        <v>626</v>
      </c>
      <c r="V9" s="151">
        <v>1173</v>
      </c>
      <c r="W9" s="93" t="s">
        <v>629</v>
      </c>
      <c r="X9" s="14">
        <f>C11</f>
        <v>10.050000000000001</v>
      </c>
      <c r="Y9" s="283">
        <f t="shared" si="0"/>
        <v>2</v>
      </c>
      <c r="Z9" s="14">
        <f>D11</f>
        <v>8.6999999999999993</v>
      </c>
      <c r="AA9" s="283">
        <f t="shared" si="1"/>
        <v>5</v>
      </c>
      <c r="AB9" s="69">
        <f>Table351550571318293133[[#This Row],[Floor4]]+Table351550571318293133[[#This Row],[Vault6]]</f>
        <v>18.75</v>
      </c>
      <c r="AC9" s="283">
        <f t="shared" si="2"/>
        <v>2</v>
      </c>
    </row>
    <row r="10" spans="1:62">
      <c r="A10" s="151">
        <v>1172</v>
      </c>
      <c r="B10" s="97"/>
      <c r="C10" s="13">
        <v>0</v>
      </c>
      <c r="D10" s="13">
        <v>0</v>
      </c>
      <c r="E10" s="13">
        <f t="shared" si="5"/>
        <v>0</v>
      </c>
      <c r="G10" s="151">
        <v>1178</v>
      </c>
      <c r="H10" s="93" t="s">
        <v>281</v>
      </c>
      <c r="I10" s="13">
        <v>9.4</v>
      </c>
      <c r="J10" s="13">
        <v>8.6</v>
      </c>
      <c r="K10" s="13">
        <f t="shared" si="6"/>
        <v>18</v>
      </c>
      <c r="M10" s="151">
        <v>1184</v>
      </c>
      <c r="N10" s="93" t="s">
        <v>318</v>
      </c>
      <c r="O10" s="13">
        <v>9.6999999999999993</v>
      </c>
      <c r="P10" s="13">
        <v>8.4499999999999993</v>
      </c>
      <c r="Q10" s="13">
        <f t="shared" si="7"/>
        <v>18.149999999999999</v>
      </c>
      <c r="U10" s="16" t="s">
        <v>626</v>
      </c>
      <c r="V10" s="151">
        <v>1174</v>
      </c>
      <c r="W10" s="93" t="s">
        <v>630</v>
      </c>
      <c r="X10" s="14">
        <f>C12</f>
        <v>9.5</v>
      </c>
      <c r="Y10" s="283">
        <f t="shared" si="0"/>
        <v>9</v>
      </c>
      <c r="Z10" s="14">
        <f>D12</f>
        <v>8.5</v>
      </c>
      <c r="AA10" s="283">
        <f t="shared" si="1"/>
        <v>8</v>
      </c>
      <c r="AB10" s="69">
        <f>Table351550571318293133[[#This Row],[Floor4]]+Table351550571318293133[[#This Row],[Vault6]]</f>
        <v>18</v>
      </c>
      <c r="AC10" s="283">
        <f t="shared" si="2"/>
        <v>13.000000000000002</v>
      </c>
    </row>
    <row r="11" spans="1:62">
      <c r="A11" s="151">
        <v>1173</v>
      </c>
      <c r="B11" s="93" t="s">
        <v>629</v>
      </c>
      <c r="C11" s="13">
        <v>10.050000000000001</v>
      </c>
      <c r="D11" s="13">
        <v>8.6999999999999993</v>
      </c>
      <c r="E11" s="13">
        <f t="shared" si="5"/>
        <v>18.75</v>
      </c>
      <c r="G11" s="151">
        <v>1179</v>
      </c>
      <c r="H11" s="93" t="s">
        <v>54</v>
      </c>
      <c r="I11" s="13">
        <v>9.9</v>
      </c>
      <c r="J11" s="13">
        <v>8.6999999999999993</v>
      </c>
      <c r="K11" s="13">
        <f t="shared" si="6"/>
        <v>18.600000000000001</v>
      </c>
      <c r="M11" s="151">
        <v>1185</v>
      </c>
      <c r="N11" s="93" t="s">
        <v>315</v>
      </c>
      <c r="O11" s="13">
        <v>9.1999999999999993</v>
      </c>
      <c r="P11" s="13">
        <v>8.5</v>
      </c>
      <c r="Q11" s="13">
        <f t="shared" si="7"/>
        <v>17.7</v>
      </c>
      <c r="U11" s="16" t="s">
        <v>706</v>
      </c>
      <c r="V11" s="151">
        <v>1177</v>
      </c>
      <c r="W11" s="99" t="s">
        <v>708</v>
      </c>
      <c r="X11" s="14">
        <f>I9</f>
        <v>9.5</v>
      </c>
      <c r="Y11" s="283">
        <f t="shared" si="0"/>
        <v>9</v>
      </c>
      <c r="Z11" s="14">
        <f>J9</f>
        <v>9</v>
      </c>
      <c r="AA11" s="283">
        <f t="shared" si="1"/>
        <v>1</v>
      </c>
      <c r="AB11" s="69">
        <f>Table351550571318293133[[#This Row],[Floor4]]+Table351550571318293133[[#This Row],[Vault6]]</f>
        <v>18.5</v>
      </c>
      <c r="AC11" s="283">
        <f t="shared" si="2"/>
        <v>4</v>
      </c>
    </row>
    <row r="12" spans="1:62">
      <c r="A12" s="151">
        <v>1174</v>
      </c>
      <c r="B12" s="93" t="s">
        <v>630</v>
      </c>
      <c r="C12" s="13">
        <v>9.5</v>
      </c>
      <c r="D12" s="13">
        <v>8.5</v>
      </c>
      <c r="E12" s="13">
        <f t="shared" si="5"/>
        <v>18</v>
      </c>
      <c r="G12" s="151">
        <v>1180</v>
      </c>
      <c r="H12" s="93" t="s">
        <v>709</v>
      </c>
      <c r="I12" s="13">
        <v>9.8000000000000007</v>
      </c>
      <c r="J12" s="13">
        <v>8.6</v>
      </c>
      <c r="K12" s="13">
        <f t="shared" si="6"/>
        <v>18.399999999999999</v>
      </c>
      <c r="M12" s="151">
        <v>1186</v>
      </c>
      <c r="N12" s="93" t="s">
        <v>773</v>
      </c>
      <c r="O12" s="13">
        <v>9.1</v>
      </c>
      <c r="P12" s="13">
        <v>7.8</v>
      </c>
      <c r="Q12" s="13">
        <f t="shared" si="7"/>
        <v>16.899999999999999</v>
      </c>
      <c r="U12" s="16" t="s">
        <v>706</v>
      </c>
      <c r="V12" s="151">
        <v>1178</v>
      </c>
      <c r="W12" s="93" t="s">
        <v>281</v>
      </c>
      <c r="X12" s="14">
        <f t="shared" ref="X12:X14" si="8">I10</f>
        <v>9.4</v>
      </c>
      <c r="Y12" s="283">
        <f t="shared" si="0"/>
        <v>10</v>
      </c>
      <c r="Z12" s="14">
        <f t="shared" ref="Z12" si="9">J10</f>
        <v>8.6</v>
      </c>
      <c r="AA12" s="283">
        <f t="shared" si="1"/>
        <v>6</v>
      </c>
      <c r="AB12" s="69">
        <f>Table351550571318293133[[#This Row],[Floor4]]+Table351550571318293133[[#This Row],[Vault6]]</f>
        <v>18</v>
      </c>
      <c r="AC12" s="283">
        <f t="shared" si="2"/>
        <v>13.000000000000002</v>
      </c>
    </row>
    <row r="13" spans="1:62" ht="16.5" thickBot="1">
      <c r="A13" s="151">
        <v>1175</v>
      </c>
      <c r="B13" s="97"/>
      <c r="C13" s="13">
        <v>0</v>
      </c>
      <c r="D13" s="13">
        <v>0</v>
      </c>
      <c r="E13" s="13">
        <f t="shared" si="5"/>
        <v>0</v>
      </c>
      <c r="F13" s="8"/>
      <c r="G13" s="151">
        <v>1181</v>
      </c>
      <c r="H13" s="100" t="s">
        <v>1351</v>
      </c>
      <c r="I13" s="13">
        <v>9.5500000000000007</v>
      </c>
      <c r="J13" s="13">
        <v>8.6</v>
      </c>
      <c r="K13" s="13">
        <f t="shared" si="6"/>
        <v>18.149999999999999</v>
      </c>
      <c r="M13" s="151">
        <v>1187</v>
      </c>
      <c r="N13" s="93" t="s">
        <v>774</v>
      </c>
      <c r="O13" s="13">
        <v>8.9499999999999993</v>
      </c>
      <c r="P13" s="13">
        <v>8.1999999999999993</v>
      </c>
      <c r="Q13" s="13">
        <f t="shared" si="7"/>
        <v>17.149999999999999</v>
      </c>
      <c r="U13" s="16" t="s">
        <v>706</v>
      </c>
      <c r="V13" s="151">
        <v>1179</v>
      </c>
      <c r="W13" s="93" t="s">
        <v>54</v>
      </c>
      <c r="X13" s="14">
        <f>I11</f>
        <v>9.9</v>
      </c>
      <c r="Y13" s="283">
        <f t="shared" si="0"/>
        <v>4</v>
      </c>
      <c r="Z13" s="14">
        <f>J11</f>
        <v>8.6999999999999993</v>
      </c>
      <c r="AA13" s="283">
        <f t="shared" si="1"/>
        <v>5</v>
      </c>
      <c r="AB13" s="69">
        <f>Table351550571318293133[[#This Row],[Floor4]]+Table351550571318293133[[#This Row],[Vault6]]</f>
        <v>18.600000000000001</v>
      </c>
      <c r="AC13" s="283">
        <f t="shared" si="2"/>
        <v>3</v>
      </c>
    </row>
    <row r="14" spans="1:62" ht="16.5" thickBot="1">
      <c r="B14" s="25" t="s">
        <v>10</v>
      </c>
      <c r="C14" s="19">
        <f>SUM(C8:C13)-SMALL(C8:C13,1)-SMALL(C8:C13,2)</f>
        <v>38.400000000000006</v>
      </c>
      <c r="D14" s="19">
        <f>SUM(D8:D13)-SMALL(D8:D13,1)-SMALL(D8:D13,2)</f>
        <v>33.599999999999994</v>
      </c>
      <c r="E14" s="20">
        <f>SUM(C14:D14)</f>
        <v>72</v>
      </c>
      <c r="F14" s="8"/>
      <c r="H14" s="25" t="s">
        <v>10</v>
      </c>
      <c r="I14" s="19">
        <f>SUM(I8:I13)-SMALL(I8:I13,1)-SMALL(I8:I13,2)</f>
        <v>38.749999999999993</v>
      </c>
      <c r="J14" s="19">
        <f>SUM(J8:J13)-SMALL(J8:J13,1)-SMALL(J8:J13,2)</f>
        <v>34.9</v>
      </c>
      <c r="K14" s="20">
        <f>SUM(I14:J14)</f>
        <v>73.649999999999991</v>
      </c>
      <c r="N14" s="25" t="s">
        <v>10</v>
      </c>
      <c r="O14" s="19">
        <f>SUM(O8:O13)-SMALL(O8:O13,1)-SMALL(O8:O13,2)</f>
        <v>37.299999999999997</v>
      </c>
      <c r="P14" s="19">
        <f>SUM(P8:P13)-SMALL(P8:P13,1)-SMALL(P8:P13,2)</f>
        <v>33.700000000000003</v>
      </c>
      <c r="Q14" s="20">
        <f>SUM(O14:P14)</f>
        <v>71</v>
      </c>
      <c r="U14" s="16" t="s">
        <v>706</v>
      </c>
      <c r="V14" s="151">
        <v>1180</v>
      </c>
      <c r="W14" s="93" t="s">
        <v>709</v>
      </c>
      <c r="X14" s="14">
        <f t="shared" si="8"/>
        <v>9.8000000000000007</v>
      </c>
      <c r="Y14" s="283">
        <f t="shared" si="0"/>
        <v>5</v>
      </c>
      <c r="Z14" s="14">
        <f>J12</f>
        <v>8.6</v>
      </c>
      <c r="AA14" s="283">
        <f t="shared" si="1"/>
        <v>6</v>
      </c>
      <c r="AB14" s="69">
        <f>Table351550571318293133[[#This Row],[Floor4]]+Table351550571318293133[[#This Row],[Vault6]]</f>
        <v>18.399999999999999</v>
      </c>
      <c r="AC14" s="283">
        <f t="shared" si="2"/>
        <v>6</v>
      </c>
    </row>
    <row r="15" spans="1:62">
      <c r="B15" s="24" t="s">
        <v>37</v>
      </c>
      <c r="D15" s="25"/>
      <c r="E15" s="26"/>
      <c r="H15" s="24" t="s">
        <v>37</v>
      </c>
      <c r="J15" s="25"/>
      <c r="K15" s="26"/>
      <c r="N15" s="24" t="s">
        <v>37</v>
      </c>
      <c r="P15" s="25"/>
      <c r="Q15" s="26"/>
      <c r="U15" s="16" t="s">
        <v>306</v>
      </c>
      <c r="V15" s="151">
        <v>1182</v>
      </c>
      <c r="W15" s="99" t="s">
        <v>316</v>
      </c>
      <c r="X15" s="14">
        <f>O8</f>
        <v>9.3000000000000007</v>
      </c>
      <c r="Y15" s="283">
        <f t="shared" si="0"/>
        <v>12.000000000000002</v>
      </c>
      <c r="Z15" s="14">
        <f>P8</f>
        <v>8.5500000000000007</v>
      </c>
      <c r="AA15" s="283">
        <f t="shared" si="1"/>
        <v>7.0000000000000009</v>
      </c>
      <c r="AB15" s="69">
        <f>Table351550571318293133[[#This Row],[Floor4]]+Table351550571318293133[[#This Row],[Vault6]]</f>
        <v>17.850000000000001</v>
      </c>
      <c r="AC15" s="283">
        <f t="shared" si="2"/>
        <v>15</v>
      </c>
    </row>
    <row r="16" spans="1:62">
      <c r="U16" s="16" t="s">
        <v>306</v>
      </c>
      <c r="V16" s="151">
        <v>1183</v>
      </c>
      <c r="W16" s="99" t="s">
        <v>546</v>
      </c>
      <c r="X16" s="14">
        <f t="shared" ref="X16:X20" si="10">O9</f>
        <v>0</v>
      </c>
      <c r="Y16" s="283">
        <f t="shared" si="0"/>
        <v>17</v>
      </c>
      <c r="Z16" s="14">
        <f>P9</f>
        <v>0</v>
      </c>
      <c r="AA16" s="283">
        <f t="shared" si="1"/>
        <v>18</v>
      </c>
      <c r="AB16" s="69">
        <f>Table351550571318293133[[#This Row],[Floor4]]+Table351550571318293133[[#This Row],[Vault6]]</f>
        <v>0</v>
      </c>
      <c r="AC16" s="283">
        <f t="shared" si="2"/>
        <v>22.999999999999996</v>
      </c>
    </row>
    <row r="17" spans="1:29">
      <c r="A17" s="333" t="s">
        <v>483</v>
      </c>
      <c r="B17" s="231"/>
      <c r="C17" s="231"/>
      <c r="D17" s="231"/>
      <c r="E17" s="232"/>
      <c r="G17" s="333" t="s">
        <v>1194</v>
      </c>
      <c r="H17" s="231"/>
      <c r="I17" s="231"/>
      <c r="J17" s="231"/>
      <c r="K17" s="232"/>
      <c r="N17" s="39" t="s">
        <v>12</v>
      </c>
      <c r="O17" s="43" t="s">
        <v>5</v>
      </c>
      <c r="P17" s="44" t="s">
        <v>11</v>
      </c>
      <c r="U17" s="16" t="s">
        <v>306</v>
      </c>
      <c r="V17" s="151">
        <v>1184</v>
      </c>
      <c r="W17" s="93" t="s">
        <v>318</v>
      </c>
      <c r="X17" s="14">
        <f t="shared" si="10"/>
        <v>9.6999999999999993</v>
      </c>
      <c r="Y17" s="283">
        <f t="shared" si="0"/>
        <v>6.9999999999999991</v>
      </c>
      <c r="Z17" s="14">
        <f t="shared" ref="Z17:Z20" si="11">P10</f>
        <v>8.4499999999999993</v>
      </c>
      <c r="AA17" s="283">
        <f t="shared" si="1"/>
        <v>9</v>
      </c>
      <c r="AB17" s="69">
        <f>Table351550571318293133[[#This Row],[Floor4]]+Table351550571318293133[[#This Row],[Vault6]]</f>
        <v>18.149999999999999</v>
      </c>
      <c r="AC17" s="283">
        <f t="shared" si="2"/>
        <v>10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G18" s="9" t="s">
        <v>1</v>
      </c>
      <c r="H18" s="9" t="s">
        <v>2</v>
      </c>
      <c r="I18" s="9" t="s">
        <v>3</v>
      </c>
      <c r="J18" s="9" t="s">
        <v>4</v>
      </c>
      <c r="K18" s="9" t="s">
        <v>5</v>
      </c>
      <c r="N18" s="257" t="s">
        <v>1263</v>
      </c>
      <c r="O18" s="62">
        <f>E14</f>
        <v>72</v>
      </c>
      <c r="P18" s="40">
        <f>SUMPRODUCT((O$18:O$22&gt;O18)/COUNTIF(O$18:O$22,O$18:O$22&amp;""))+1</f>
        <v>4</v>
      </c>
      <c r="U18" s="16" t="s">
        <v>306</v>
      </c>
      <c r="V18" s="151">
        <v>1185</v>
      </c>
      <c r="W18" s="93" t="s">
        <v>315</v>
      </c>
      <c r="X18" s="14">
        <f t="shared" si="10"/>
        <v>9.1999999999999993</v>
      </c>
      <c r="Y18" s="283">
        <f t="shared" si="0"/>
        <v>14.000000000000002</v>
      </c>
      <c r="Z18" s="14">
        <f>P11</f>
        <v>8.5</v>
      </c>
      <c r="AA18" s="283">
        <f t="shared" si="1"/>
        <v>8</v>
      </c>
      <c r="AB18" s="69">
        <f>Table351550571318293133[[#This Row],[Floor4]]+Table351550571318293133[[#This Row],[Vault6]]</f>
        <v>17.7</v>
      </c>
      <c r="AC18" s="283">
        <f t="shared" si="2"/>
        <v>17</v>
      </c>
    </row>
    <row r="19" spans="1:29">
      <c r="A19" s="151">
        <v>1188</v>
      </c>
      <c r="B19" s="99" t="s">
        <v>487</v>
      </c>
      <c r="C19" s="13">
        <v>9.5</v>
      </c>
      <c r="D19" s="13">
        <v>8.6</v>
      </c>
      <c r="E19" s="13">
        <f>SUM(C19,D19)</f>
        <v>18.100000000000001</v>
      </c>
      <c r="F19" s="81"/>
      <c r="G19" s="151">
        <v>1194</v>
      </c>
      <c r="H19" s="99" t="s">
        <v>34</v>
      </c>
      <c r="I19" s="13">
        <v>9.5</v>
      </c>
      <c r="J19" s="13">
        <v>7.9</v>
      </c>
      <c r="K19" s="13">
        <f>SUM(I19,J19)</f>
        <v>17.399999999999999</v>
      </c>
      <c r="N19" s="45" t="s">
        <v>550</v>
      </c>
      <c r="O19" s="47">
        <f>K14</f>
        <v>73.649999999999991</v>
      </c>
      <c r="P19" s="40">
        <f t="shared" ref="P19:P22" si="12">SUMPRODUCT((O$18:O$22&gt;O19)/COUNTIF(O$18:O$22,O$18:O$22&amp;""))+1</f>
        <v>1</v>
      </c>
      <c r="U19" s="16" t="s">
        <v>306</v>
      </c>
      <c r="V19" s="151">
        <v>1186</v>
      </c>
      <c r="W19" s="93" t="s">
        <v>773</v>
      </c>
      <c r="X19" s="14">
        <f>O12</f>
        <v>9.1</v>
      </c>
      <c r="Y19" s="283">
        <f t="shared" si="0"/>
        <v>15.000000000000002</v>
      </c>
      <c r="Z19" s="14">
        <f t="shared" si="11"/>
        <v>7.8</v>
      </c>
      <c r="AA19" s="283">
        <f t="shared" si="1"/>
        <v>16</v>
      </c>
      <c r="AB19" s="69">
        <f>Table351550571318293133[[#This Row],[Floor4]]+Table351550571318293133[[#This Row],[Vault6]]</f>
        <v>16.899999999999999</v>
      </c>
      <c r="AC19" s="283">
        <f t="shared" si="2"/>
        <v>20.999999999999996</v>
      </c>
    </row>
    <row r="20" spans="1:29">
      <c r="A20" s="151">
        <v>1189</v>
      </c>
      <c r="B20" s="99" t="s">
        <v>68</v>
      </c>
      <c r="C20" s="13">
        <v>9.6999999999999993</v>
      </c>
      <c r="D20" s="13">
        <v>8.75</v>
      </c>
      <c r="E20" s="13">
        <f t="shared" ref="E20:E24" si="13">SUM(C20,D20)</f>
        <v>18.45</v>
      </c>
      <c r="F20" s="86"/>
      <c r="G20" s="151">
        <v>1195</v>
      </c>
      <c r="H20" s="99" t="s">
        <v>1209</v>
      </c>
      <c r="I20" s="13">
        <v>9.1</v>
      </c>
      <c r="J20" s="13">
        <v>8</v>
      </c>
      <c r="K20" s="13">
        <f t="shared" ref="K20:K24" si="14">SUM(I20,J20)</f>
        <v>17.100000000000001</v>
      </c>
      <c r="N20" s="45" t="s">
        <v>1269</v>
      </c>
      <c r="O20" s="47">
        <f>Q14</f>
        <v>71</v>
      </c>
      <c r="P20" s="40">
        <f t="shared" si="12"/>
        <v>5</v>
      </c>
      <c r="U20" s="16" t="s">
        <v>306</v>
      </c>
      <c r="V20" s="151">
        <v>1187</v>
      </c>
      <c r="W20" s="93" t="s">
        <v>774</v>
      </c>
      <c r="X20" s="14">
        <f t="shared" si="10"/>
        <v>8.9499999999999993</v>
      </c>
      <c r="Y20" s="283">
        <f t="shared" si="0"/>
        <v>16</v>
      </c>
      <c r="Z20" s="14">
        <f t="shared" si="11"/>
        <v>8.1999999999999993</v>
      </c>
      <c r="AA20" s="283">
        <f t="shared" si="1"/>
        <v>12</v>
      </c>
      <c r="AB20" s="69">
        <f>Table351550571318293133[[#This Row],[Floor4]]+Table351550571318293133[[#This Row],[Vault6]]</f>
        <v>17.149999999999999</v>
      </c>
      <c r="AC20" s="283">
        <f t="shared" si="2"/>
        <v>19</v>
      </c>
    </row>
    <row r="21" spans="1:29">
      <c r="A21" s="151">
        <v>1190</v>
      </c>
      <c r="B21" s="93" t="s">
        <v>69</v>
      </c>
      <c r="C21" s="13">
        <v>9.35</v>
      </c>
      <c r="D21" s="13">
        <v>8.6999999999999993</v>
      </c>
      <c r="E21" s="13">
        <f t="shared" si="13"/>
        <v>18.049999999999997</v>
      </c>
      <c r="F21" s="81"/>
      <c r="G21" s="151">
        <v>1196</v>
      </c>
      <c r="H21" t="s">
        <v>1294</v>
      </c>
      <c r="I21" s="13">
        <v>9.1999999999999993</v>
      </c>
      <c r="J21" s="13">
        <v>8.5500000000000007</v>
      </c>
      <c r="K21" s="13">
        <f t="shared" si="14"/>
        <v>17.75</v>
      </c>
      <c r="N21" s="45" t="s">
        <v>483</v>
      </c>
      <c r="O21" s="47">
        <f>E25</f>
        <v>72.3</v>
      </c>
      <c r="P21" s="40">
        <f t="shared" si="12"/>
        <v>3</v>
      </c>
      <c r="U21" s="16" t="s">
        <v>1104</v>
      </c>
      <c r="V21" s="149">
        <v>1200</v>
      </c>
      <c r="W21" s="93" t="s">
        <v>1106</v>
      </c>
      <c r="X21" s="14">
        <f>C30</f>
        <v>10</v>
      </c>
      <c r="Y21" s="283">
        <f t="shared" si="0"/>
        <v>3</v>
      </c>
      <c r="Z21" s="14">
        <f>D30</f>
        <v>8.35</v>
      </c>
      <c r="AA21" s="283">
        <f t="shared" si="1"/>
        <v>11</v>
      </c>
      <c r="AB21" s="69">
        <f>Table351550571318293133[[#This Row],[Floor4]]+Table351550571318293133[[#This Row],[Vault6]]</f>
        <v>18.350000000000001</v>
      </c>
      <c r="AC21" s="283">
        <f t="shared" si="2"/>
        <v>7</v>
      </c>
    </row>
    <row r="22" spans="1:29">
      <c r="A22" s="151">
        <v>1191</v>
      </c>
      <c r="B22" s="93" t="s">
        <v>486</v>
      </c>
      <c r="C22" s="13">
        <v>9.75</v>
      </c>
      <c r="D22" s="13">
        <v>7.95</v>
      </c>
      <c r="E22" s="13">
        <f t="shared" si="13"/>
        <v>17.7</v>
      </c>
      <c r="F22" s="81"/>
      <c r="G22" s="151">
        <v>1197</v>
      </c>
      <c r="H22" s="93" t="s">
        <v>490</v>
      </c>
      <c r="I22" s="13">
        <v>9.9</v>
      </c>
      <c r="J22" s="13">
        <v>7.95</v>
      </c>
      <c r="K22" s="13">
        <f t="shared" si="14"/>
        <v>17.850000000000001</v>
      </c>
      <c r="N22" s="45" t="s">
        <v>1215</v>
      </c>
      <c r="O22" s="47">
        <f>K25</f>
        <v>72.550000000000011</v>
      </c>
      <c r="P22" s="40">
        <f t="shared" si="12"/>
        <v>2</v>
      </c>
      <c r="U22" s="16" t="s">
        <v>1193</v>
      </c>
      <c r="V22" s="151">
        <v>1188</v>
      </c>
      <c r="W22" s="99" t="s">
        <v>487</v>
      </c>
      <c r="X22" s="14">
        <f>C19</f>
        <v>9.5</v>
      </c>
      <c r="Y22" s="283">
        <f t="shared" si="0"/>
        <v>9</v>
      </c>
      <c r="Z22" s="14">
        <f>D19</f>
        <v>8.6</v>
      </c>
      <c r="AA22" s="283">
        <f t="shared" si="1"/>
        <v>6</v>
      </c>
      <c r="AB22" s="69">
        <f>Table351550571318293133[[#This Row],[Floor4]]+Table351550571318293133[[#This Row],[Vault6]]</f>
        <v>18.100000000000001</v>
      </c>
      <c r="AC22" s="283">
        <f t="shared" si="2"/>
        <v>11.000000000000002</v>
      </c>
    </row>
    <row r="23" spans="1:29">
      <c r="A23" s="151">
        <v>1192</v>
      </c>
      <c r="B23" s="97"/>
      <c r="C23" s="13">
        <v>0</v>
      </c>
      <c r="D23" s="13">
        <v>0</v>
      </c>
      <c r="E23" s="13">
        <f t="shared" si="13"/>
        <v>0</v>
      </c>
      <c r="F23" s="81"/>
      <c r="G23" s="151">
        <v>1198</v>
      </c>
      <c r="H23" s="93" t="s">
        <v>1210</v>
      </c>
      <c r="I23" s="13">
        <v>9.5500000000000007</v>
      </c>
      <c r="J23" s="13">
        <v>8.75</v>
      </c>
      <c r="K23" s="13">
        <f t="shared" si="14"/>
        <v>18.3</v>
      </c>
      <c r="U23" s="16" t="s">
        <v>1193</v>
      </c>
      <c r="V23" s="151">
        <v>1189</v>
      </c>
      <c r="W23" s="99" t="s">
        <v>68</v>
      </c>
      <c r="X23" s="14">
        <f t="shared" ref="X23" si="15">C20</f>
        <v>9.6999999999999993</v>
      </c>
      <c r="Y23" s="283">
        <f t="shared" si="0"/>
        <v>6.9999999999999991</v>
      </c>
      <c r="Z23" s="14">
        <f t="shared" ref="Z23:Z25" si="16">D20</f>
        <v>8.75</v>
      </c>
      <c r="AA23" s="283">
        <f t="shared" si="1"/>
        <v>4</v>
      </c>
      <c r="AB23" s="69">
        <f>Table351550571318293133[[#This Row],[Floor4]]+Table351550571318293133[[#This Row],[Vault6]]</f>
        <v>18.45</v>
      </c>
      <c r="AC23" s="283">
        <f t="shared" si="2"/>
        <v>5</v>
      </c>
    </row>
    <row r="24" spans="1:29" ht="16.5" thickBot="1">
      <c r="A24" s="151">
        <v>1193</v>
      </c>
      <c r="B24" s="97"/>
      <c r="C24" s="13">
        <v>0</v>
      </c>
      <c r="D24" s="13">
        <v>0</v>
      </c>
      <c r="E24" s="13">
        <f t="shared" si="13"/>
        <v>0</v>
      </c>
      <c r="F24" s="81"/>
      <c r="G24" s="151">
        <v>1199</v>
      </c>
      <c r="H24" s="93" t="s">
        <v>491</v>
      </c>
      <c r="I24" s="13">
        <v>9.8000000000000007</v>
      </c>
      <c r="J24" s="13">
        <v>8.5</v>
      </c>
      <c r="K24" s="13">
        <f t="shared" si="14"/>
        <v>18.3</v>
      </c>
      <c r="U24" s="16" t="s">
        <v>1193</v>
      </c>
      <c r="V24" s="151">
        <v>1190</v>
      </c>
      <c r="W24" s="93" t="s">
        <v>69</v>
      </c>
      <c r="X24" s="14">
        <f>C21</f>
        <v>9.35</v>
      </c>
      <c r="Y24" s="283">
        <f t="shared" si="0"/>
        <v>11.000000000000002</v>
      </c>
      <c r="Z24" s="14">
        <f>D21</f>
        <v>8.6999999999999993</v>
      </c>
      <c r="AA24" s="283">
        <f t="shared" si="1"/>
        <v>5</v>
      </c>
      <c r="AB24" s="69">
        <f>Table351550571318293133[[#This Row],[Floor4]]+Table351550571318293133[[#This Row],[Vault6]]</f>
        <v>18.049999999999997</v>
      </c>
      <c r="AC24" s="283">
        <f t="shared" si="2"/>
        <v>12.000000000000002</v>
      </c>
    </row>
    <row r="25" spans="1:29" ht="16.5" thickBot="1">
      <c r="B25" s="25" t="s">
        <v>10</v>
      </c>
      <c r="C25" s="19">
        <f>SUM(C19:C24)-SMALL(C19:C24,1)-SMALL(C19:C24,2)</f>
        <v>38.299999999999997</v>
      </c>
      <c r="D25" s="19">
        <f>SUM(D19:D24)-SMALL(D19:D24,1)-SMALL(D19:D24,2)</f>
        <v>34</v>
      </c>
      <c r="E25" s="20">
        <f>SUM(C25:D25)</f>
        <v>72.3</v>
      </c>
      <c r="F25" s="86"/>
      <c r="H25" s="25" t="s">
        <v>10</v>
      </c>
      <c r="I25" s="19">
        <f>SUM(I19:I24)-SMALL(I19:I24,1)-SMALL(I19:I24,2)</f>
        <v>38.75</v>
      </c>
      <c r="J25" s="19">
        <f>SUM(J19:J24)-SMALL(J19:J24,1)-SMALL(J19:J24,2)</f>
        <v>33.800000000000004</v>
      </c>
      <c r="K25" s="20">
        <f>SUM(I25:J25)</f>
        <v>72.550000000000011</v>
      </c>
      <c r="U25" s="16" t="s">
        <v>1193</v>
      </c>
      <c r="V25" s="151">
        <v>1191</v>
      </c>
      <c r="W25" s="93" t="s">
        <v>486</v>
      </c>
      <c r="X25" s="14">
        <f>C22</f>
        <v>9.75</v>
      </c>
      <c r="Y25" s="283">
        <f t="shared" si="0"/>
        <v>5.9999999999999991</v>
      </c>
      <c r="Z25" s="14">
        <f t="shared" si="16"/>
        <v>7.95</v>
      </c>
      <c r="AA25" s="283">
        <f t="shared" si="1"/>
        <v>14</v>
      </c>
      <c r="AB25" s="69">
        <f>Table351550571318293133[[#This Row],[Floor4]]+Table351550571318293133[[#This Row],[Vault6]]</f>
        <v>17.7</v>
      </c>
      <c r="AC25" s="283">
        <f t="shared" si="2"/>
        <v>17</v>
      </c>
    </row>
    <row r="26" spans="1:29">
      <c r="B26" s="24" t="s">
        <v>37</v>
      </c>
      <c r="D26" s="25"/>
      <c r="E26" s="26"/>
      <c r="F26" s="81"/>
      <c r="H26" s="24" t="s">
        <v>37</v>
      </c>
      <c r="J26" s="25"/>
      <c r="K26" s="26"/>
      <c r="U26" s="16" t="s">
        <v>1204</v>
      </c>
      <c r="V26" s="151">
        <v>1194</v>
      </c>
      <c r="W26" s="99" t="s">
        <v>34</v>
      </c>
      <c r="X26" s="14">
        <f>I19</f>
        <v>9.5</v>
      </c>
      <c r="Y26" s="283">
        <f t="shared" si="0"/>
        <v>9</v>
      </c>
      <c r="Z26" s="14">
        <f>J19</f>
        <v>7.9</v>
      </c>
      <c r="AA26" s="283">
        <f t="shared" si="1"/>
        <v>15</v>
      </c>
      <c r="AB26" s="69">
        <f>Table351550571318293133[[#This Row],[Floor4]]+Table351550571318293133[[#This Row],[Vault6]]</f>
        <v>17.399999999999999</v>
      </c>
      <c r="AC26" s="283">
        <f t="shared" si="2"/>
        <v>18</v>
      </c>
    </row>
    <row r="27" spans="1:29">
      <c r="A27" s="1"/>
      <c r="B27" s="114"/>
      <c r="C27" s="1"/>
      <c r="D27" s="104"/>
      <c r="E27" s="115"/>
      <c r="F27" s="1"/>
      <c r="U27" s="16" t="s">
        <v>1204</v>
      </c>
      <c r="V27" s="151">
        <v>1195</v>
      </c>
      <c r="W27" s="99" t="s">
        <v>1209</v>
      </c>
      <c r="X27" s="14">
        <f t="shared" ref="X27:X31" si="17">I20</f>
        <v>9.1</v>
      </c>
      <c r="Y27" s="283">
        <f t="shared" si="0"/>
        <v>15.000000000000002</v>
      </c>
      <c r="Z27" s="14">
        <f t="shared" ref="Z27:Z29" si="18">J20</f>
        <v>8</v>
      </c>
      <c r="AA27" s="283">
        <f t="shared" si="1"/>
        <v>12.999999999999998</v>
      </c>
      <c r="AB27" s="69">
        <f>Table351550571318293133[[#This Row],[Floor4]]+Table351550571318293133[[#This Row],[Vault6]]</f>
        <v>17.100000000000001</v>
      </c>
      <c r="AC27" s="283">
        <f t="shared" si="2"/>
        <v>19.999999999999996</v>
      </c>
    </row>
    <row r="28" spans="1:29">
      <c r="A28" s="333" t="s">
        <v>1331</v>
      </c>
      <c r="B28" s="220"/>
      <c r="C28" s="220"/>
      <c r="D28" s="220"/>
      <c r="E28" s="221"/>
      <c r="U28" s="16" t="s">
        <v>1204</v>
      </c>
      <c r="V28" s="151">
        <v>1196</v>
      </c>
      <c r="W28" t="s">
        <v>1294</v>
      </c>
      <c r="X28" s="14">
        <f t="shared" si="17"/>
        <v>9.1999999999999993</v>
      </c>
      <c r="Y28" s="283">
        <f t="shared" si="0"/>
        <v>14.000000000000002</v>
      </c>
      <c r="Z28" s="14">
        <f t="shared" si="18"/>
        <v>8.5500000000000007</v>
      </c>
      <c r="AA28" s="283">
        <f t="shared" si="1"/>
        <v>7.0000000000000009</v>
      </c>
      <c r="AB28" s="69">
        <f>Table351550571318293133[[#This Row],[Floor4]]+Table351550571318293133[[#This Row],[Vault6]]</f>
        <v>17.75</v>
      </c>
      <c r="AC28" s="283">
        <f t="shared" si="2"/>
        <v>16</v>
      </c>
    </row>
    <row r="29" spans="1:29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  <c r="F29" s="81"/>
      <c r="U29" s="16" t="s">
        <v>1204</v>
      </c>
      <c r="V29" s="151">
        <v>1197</v>
      </c>
      <c r="W29" s="93" t="s">
        <v>490</v>
      </c>
      <c r="X29" s="14">
        <f t="shared" si="17"/>
        <v>9.9</v>
      </c>
      <c r="Y29" s="283">
        <f t="shared" si="0"/>
        <v>4</v>
      </c>
      <c r="Z29" s="14">
        <f t="shared" si="18"/>
        <v>7.95</v>
      </c>
      <c r="AA29" s="283">
        <f t="shared" si="1"/>
        <v>14</v>
      </c>
      <c r="AB29" s="69">
        <f>Table351550571318293133[[#This Row],[Floor4]]+Table351550571318293133[[#This Row],[Vault6]]</f>
        <v>17.850000000000001</v>
      </c>
      <c r="AC29" s="283">
        <f t="shared" si="2"/>
        <v>15</v>
      </c>
    </row>
    <row r="30" spans="1:29">
      <c r="A30" s="149">
        <v>1200</v>
      </c>
      <c r="B30" s="93" t="s">
        <v>1106</v>
      </c>
      <c r="C30" s="13">
        <v>10</v>
      </c>
      <c r="D30" s="13">
        <v>8.35</v>
      </c>
      <c r="E30" s="13">
        <f t="shared" ref="E30" si="19">SUM(C30,D30)</f>
        <v>18.350000000000001</v>
      </c>
      <c r="F30" s="81"/>
      <c r="U30" s="16" t="s">
        <v>1204</v>
      </c>
      <c r="V30" s="151">
        <v>1198</v>
      </c>
      <c r="W30" s="93" t="s">
        <v>1210</v>
      </c>
      <c r="X30" s="14">
        <f>I23</f>
        <v>9.5500000000000007</v>
      </c>
      <c r="Y30" s="283">
        <f t="shared" si="0"/>
        <v>7.9999999999999991</v>
      </c>
      <c r="Z30" s="14">
        <f>J23</f>
        <v>8.75</v>
      </c>
      <c r="AA30" s="283">
        <f t="shared" si="1"/>
        <v>4</v>
      </c>
      <c r="AB30" s="69">
        <f>Table351550571318293133[[#This Row],[Floor4]]+Table351550571318293133[[#This Row],[Vault6]]</f>
        <v>18.3</v>
      </c>
      <c r="AC30" s="283">
        <f t="shared" si="2"/>
        <v>8</v>
      </c>
    </row>
    <row r="31" spans="1:29">
      <c r="F31" s="81"/>
      <c r="U31" s="16" t="s">
        <v>1204</v>
      </c>
      <c r="V31" s="151">
        <v>1199</v>
      </c>
      <c r="W31" s="93" t="s">
        <v>491</v>
      </c>
      <c r="X31" s="14">
        <f t="shared" si="17"/>
        <v>9.8000000000000007</v>
      </c>
      <c r="Y31" s="283">
        <f t="shared" si="0"/>
        <v>5</v>
      </c>
      <c r="Z31" s="14">
        <f>J24</f>
        <v>8.5</v>
      </c>
      <c r="AA31" s="283">
        <f t="shared" si="1"/>
        <v>8</v>
      </c>
      <c r="AB31" s="69">
        <f>Table351550571318293133[[#This Row],[Floor4]]+Table351550571318293133[[#This Row],[Vault6]]</f>
        <v>18.3</v>
      </c>
      <c r="AC31" s="283">
        <f t="shared" si="2"/>
        <v>8</v>
      </c>
    </row>
    <row r="32" spans="1:29">
      <c r="F32" s="81"/>
      <c r="U32" s="120" t="s">
        <v>706</v>
      </c>
      <c r="V32" s="329">
        <v>1181</v>
      </c>
      <c r="W32" s="262" t="s">
        <v>1351</v>
      </c>
      <c r="X32" s="14">
        <f>I13</f>
        <v>9.5500000000000007</v>
      </c>
      <c r="Y32" s="283">
        <f t="shared" si="0"/>
        <v>7.9999999999999991</v>
      </c>
      <c r="Z32" s="14">
        <f>J13</f>
        <v>8.6</v>
      </c>
      <c r="AA32" s="283">
        <f t="shared" si="1"/>
        <v>6</v>
      </c>
      <c r="AB32" s="69">
        <f>Table351550571318293133[[#This Row],[Floor4]]+Table351550571318293133[[#This Row],[Vault6]]</f>
        <v>18.149999999999999</v>
      </c>
      <c r="AC32" s="283">
        <f t="shared" si="2"/>
        <v>10</v>
      </c>
    </row>
    <row r="33" spans="1:29">
      <c r="F33" s="81"/>
      <c r="U33" s="307" t="s">
        <v>1227</v>
      </c>
      <c r="V33" s="318">
        <v>1204</v>
      </c>
      <c r="W33" s="308" t="s">
        <v>514</v>
      </c>
      <c r="X33" s="295">
        <f>'ADV 15&amp;U MX'!D11</f>
        <v>10.6</v>
      </c>
      <c r="Y33" s="283">
        <f t="shared" si="0"/>
        <v>1</v>
      </c>
      <c r="Z33" s="295">
        <f>'ADV 15&amp;U MX'!E11</f>
        <v>8.5500000000000007</v>
      </c>
      <c r="AA33" s="283">
        <f t="shared" si="1"/>
        <v>7.0000000000000009</v>
      </c>
      <c r="AB33" s="299">
        <f>Table351550571318293133[[#This Row],[Floor4]]+Table351550571318293133[[#This Row],[Vault6]]</f>
        <v>19.149999999999999</v>
      </c>
      <c r="AC33" s="283">
        <f t="shared" si="2"/>
        <v>1</v>
      </c>
    </row>
    <row r="34" spans="1:29">
      <c r="A34" s="168"/>
      <c r="B34" s="110"/>
      <c r="C34" s="73"/>
      <c r="D34" s="73"/>
      <c r="E34" s="73"/>
      <c r="F34" s="81"/>
      <c r="U34" s="307" t="s">
        <v>1227</v>
      </c>
      <c r="V34" s="318">
        <v>1205</v>
      </c>
      <c r="W34" s="308" t="s">
        <v>508</v>
      </c>
      <c r="X34" s="295">
        <f>'ADV 15&amp;U MX'!D12</f>
        <v>9.9</v>
      </c>
      <c r="Y34" s="283">
        <f t="shared" si="0"/>
        <v>4</v>
      </c>
      <c r="Z34" s="295">
        <f>'ADV 15&amp;U MX'!E12</f>
        <v>8.5</v>
      </c>
      <c r="AA34" s="283">
        <f t="shared" si="1"/>
        <v>8</v>
      </c>
      <c r="AB34" s="299">
        <f>Table351550571318293133[[#This Row],[Floor4]]+Table351550571318293133[[#This Row],[Vault6]]</f>
        <v>18.399999999999999</v>
      </c>
      <c r="AC34" s="283">
        <f t="shared" si="2"/>
        <v>6</v>
      </c>
    </row>
    <row r="35" spans="1:29">
      <c r="A35" s="168"/>
      <c r="B35" s="110"/>
      <c r="C35" s="73"/>
      <c r="D35" s="73"/>
      <c r="E35" s="73"/>
      <c r="F35" s="81"/>
      <c r="U35" s="307" t="s">
        <v>1227</v>
      </c>
      <c r="V35" s="319">
        <v>1206</v>
      </c>
      <c r="W35" s="311" t="s">
        <v>505</v>
      </c>
      <c r="X35" s="295">
        <f>'ADV 15&amp;U MX'!D13</f>
        <v>9.8000000000000007</v>
      </c>
      <c r="Y35" s="283">
        <f t="shared" si="0"/>
        <v>5</v>
      </c>
      <c r="Z35" s="295">
        <f>'ADV 15&amp;U MX'!E13</f>
        <v>8.6</v>
      </c>
      <c r="AA35" s="283">
        <f t="shared" si="1"/>
        <v>6</v>
      </c>
      <c r="AB35" s="299">
        <f>Table351550571318293133[[#This Row],[Floor4]]+Table351550571318293133[[#This Row],[Vault6]]</f>
        <v>18.399999999999999</v>
      </c>
      <c r="AC35" s="283">
        <f t="shared" si="2"/>
        <v>6</v>
      </c>
    </row>
    <row r="36" spans="1:29">
      <c r="A36" s="168"/>
      <c r="B36" s="110"/>
      <c r="C36" s="73"/>
      <c r="D36" s="73"/>
      <c r="E36" s="73"/>
      <c r="F36" s="81"/>
      <c r="U36" s="307" t="s">
        <v>1227</v>
      </c>
      <c r="V36" s="302">
        <v>1210</v>
      </c>
      <c r="W36" s="303" t="s">
        <v>214</v>
      </c>
      <c r="X36" s="295">
        <f>'ADV 15&amp;U MX'!O11</f>
        <v>9.8000000000000007</v>
      </c>
      <c r="Y36" s="283">
        <f t="shared" si="0"/>
        <v>5</v>
      </c>
      <c r="Z36" s="295">
        <f>'ADV 15&amp;U MX'!P11</f>
        <v>8.4499999999999993</v>
      </c>
      <c r="AA36" s="283">
        <f t="shared" si="1"/>
        <v>9</v>
      </c>
      <c r="AB36" s="299">
        <f>Table351550571318293133[[#This Row],[Floor4]]+Table351550571318293133[[#This Row],[Vault6]]</f>
        <v>18.25</v>
      </c>
      <c r="AC36" s="283">
        <f t="shared" si="2"/>
        <v>9</v>
      </c>
    </row>
    <row r="37" spans="1:29">
      <c r="A37" s="168"/>
      <c r="B37" s="110"/>
      <c r="C37" s="73"/>
      <c r="D37" s="73"/>
      <c r="E37" s="68"/>
      <c r="F37" s="81"/>
      <c r="G37" s="80"/>
      <c r="H37" s="87"/>
      <c r="I37" s="68"/>
      <c r="J37" s="68"/>
      <c r="K37" s="68"/>
      <c r="L37" s="81"/>
      <c r="U37" s="307" t="s">
        <v>1227</v>
      </c>
      <c r="V37" s="302">
        <v>1211</v>
      </c>
      <c r="W37" s="303" t="s">
        <v>512</v>
      </c>
      <c r="X37" s="295">
        <f>'ADV 15&amp;U MX'!O12</f>
        <v>9.25</v>
      </c>
      <c r="Y37" s="283">
        <f t="shared" si="0"/>
        <v>13.000000000000002</v>
      </c>
      <c r="Z37" s="295">
        <f>'ADV 15&amp;U MX'!P12</f>
        <v>8.8000000000000007</v>
      </c>
      <c r="AA37" s="283">
        <f t="shared" si="1"/>
        <v>3</v>
      </c>
      <c r="AB37" s="299">
        <f>Table351550571318293133[[#This Row],[Floor4]]+Table351550571318293133[[#This Row],[Vault6]]</f>
        <v>18.05</v>
      </c>
      <c r="AC37" s="283">
        <f t="shared" si="2"/>
        <v>12.000000000000002</v>
      </c>
    </row>
    <row r="38" spans="1:29">
      <c r="A38" s="1"/>
      <c r="B38" s="104"/>
      <c r="C38" s="64"/>
      <c r="D38" s="64"/>
      <c r="E38" s="105"/>
      <c r="F38" s="81"/>
      <c r="G38" s="80"/>
      <c r="H38" s="87"/>
      <c r="I38" s="68"/>
      <c r="J38" s="68"/>
      <c r="K38" s="68"/>
      <c r="L38" s="81"/>
      <c r="U38" s="307" t="s">
        <v>1227</v>
      </c>
      <c r="V38" s="302">
        <v>1212</v>
      </c>
      <c r="W38" s="303" t="s">
        <v>1226</v>
      </c>
      <c r="X38" s="295">
        <f>'ADV 15&amp;U MX'!O13</f>
        <v>9.5500000000000007</v>
      </c>
      <c r="Y38" s="283">
        <f t="shared" si="0"/>
        <v>7.9999999999999991</v>
      </c>
      <c r="Z38" s="295">
        <f>'ADV 15&amp;U MX'!P13</f>
        <v>8.4</v>
      </c>
      <c r="AA38" s="283">
        <f t="shared" si="1"/>
        <v>10</v>
      </c>
      <c r="AB38" s="299">
        <f>Table351550571318293133[[#This Row],[Floor4]]+Table351550571318293133[[#This Row],[Vault6]]</f>
        <v>17.950000000000003</v>
      </c>
      <c r="AC38" s="283">
        <f t="shared" si="2"/>
        <v>14</v>
      </c>
    </row>
    <row r="39" spans="1:29">
      <c r="A39" s="1"/>
      <c r="B39" s="114"/>
      <c r="C39" s="1"/>
      <c r="D39" s="104"/>
      <c r="E39" s="115"/>
      <c r="F39" s="81"/>
      <c r="G39" s="81"/>
      <c r="H39" s="81"/>
      <c r="I39" s="81"/>
      <c r="J39" s="81"/>
      <c r="K39" s="81"/>
      <c r="L39" s="81"/>
      <c r="Y39"/>
      <c r="AA39"/>
      <c r="AB39"/>
      <c r="AC39"/>
    </row>
    <row r="40" spans="1:29">
      <c r="A40" s="75"/>
      <c r="B40" s="75"/>
      <c r="C40" s="75"/>
      <c r="D40" s="75"/>
      <c r="E40" s="75"/>
      <c r="F40" s="81"/>
      <c r="L40" s="86"/>
      <c r="Y40"/>
      <c r="AA40"/>
      <c r="AB40"/>
      <c r="AC40"/>
    </row>
    <row r="41" spans="1:29">
      <c r="A41" s="76"/>
      <c r="B41" s="76"/>
      <c r="C41" s="76"/>
      <c r="D41" s="76"/>
      <c r="E41" s="76"/>
      <c r="F41" s="81"/>
      <c r="L41" s="81"/>
      <c r="Y41"/>
      <c r="AA41"/>
      <c r="AB41"/>
      <c r="AC41"/>
    </row>
    <row r="42" spans="1:29">
      <c r="A42" s="78"/>
      <c r="B42" s="87"/>
      <c r="C42" s="79"/>
      <c r="D42" s="79"/>
      <c r="E42" s="79"/>
      <c r="F42" s="81"/>
      <c r="L42" s="81"/>
      <c r="Y42"/>
      <c r="AA42"/>
      <c r="AB42"/>
      <c r="AC42"/>
    </row>
    <row r="43" spans="1:29">
      <c r="A43" s="78"/>
      <c r="B43" s="87"/>
      <c r="C43" s="79"/>
      <c r="D43" s="79"/>
      <c r="E43" s="79"/>
      <c r="F43" s="81"/>
      <c r="G43" s="81"/>
      <c r="H43" s="81"/>
      <c r="I43" s="81"/>
      <c r="J43" s="81"/>
      <c r="K43" s="81"/>
      <c r="L43" s="81"/>
      <c r="Y43"/>
      <c r="AA43"/>
      <c r="AB43"/>
      <c r="AC43"/>
    </row>
    <row r="44" spans="1:29">
      <c r="A44" s="78"/>
      <c r="B44" s="87"/>
      <c r="C44" s="79"/>
      <c r="D44" s="79"/>
      <c r="E44" s="79"/>
      <c r="F44" s="81"/>
      <c r="G44" s="81"/>
      <c r="H44" s="81"/>
      <c r="I44" s="81"/>
      <c r="J44" s="81"/>
      <c r="K44" s="81"/>
      <c r="L44" s="81"/>
      <c r="Y44"/>
      <c r="AA44"/>
      <c r="AB44"/>
      <c r="AC44"/>
    </row>
    <row r="45" spans="1:29">
      <c r="A45" s="78"/>
      <c r="B45" s="87"/>
      <c r="C45" s="79"/>
      <c r="D45" s="79"/>
      <c r="E45" s="79"/>
      <c r="F45" s="81"/>
      <c r="G45" s="81"/>
      <c r="H45" s="81"/>
      <c r="I45" s="81"/>
      <c r="J45" s="81"/>
      <c r="K45" s="81"/>
      <c r="L45" s="81"/>
      <c r="Y45"/>
      <c r="AA45"/>
      <c r="AB45"/>
      <c r="AC45"/>
    </row>
    <row r="46" spans="1:29">
      <c r="A46" s="78"/>
      <c r="B46" s="87"/>
      <c r="C46" s="79"/>
      <c r="D46" s="79"/>
      <c r="E46" s="79"/>
      <c r="F46" s="81"/>
      <c r="G46" s="81"/>
      <c r="H46" s="81"/>
      <c r="I46" s="81"/>
      <c r="J46" s="81"/>
      <c r="K46" s="81"/>
      <c r="L46" s="81"/>
      <c r="Y46"/>
      <c r="AA46"/>
      <c r="AB46"/>
      <c r="AC46"/>
    </row>
    <row r="47" spans="1:29">
      <c r="A47" s="78"/>
      <c r="B47" s="87"/>
      <c r="C47" s="79"/>
      <c r="D47" s="79"/>
      <c r="E47" s="79"/>
      <c r="F47" s="81"/>
      <c r="G47" s="81"/>
      <c r="H47" s="81"/>
      <c r="I47" s="81"/>
      <c r="J47" s="81"/>
      <c r="K47" s="81"/>
      <c r="L47" s="81"/>
    </row>
    <row r="48" spans="1:29">
      <c r="A48" s="88"/>
      <c r="B48" s="82"/>
      <c r="C48" s="79"/>
      <c r="D48" s="79"/>
      <c r="E48" s="83"/>
      <c r="F48" s="81"/>
      <c r="G48" s="81"/>
      <c r="H48" s="81"/>
      <c r="I48" s="81"/>
      <c r="J48" s="81"/>
      <c r="K48" s="81"/>
      <c r="L48" s="81"/>
    </row>
    <row r="49" spans="1:12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1:1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1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1:1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1:1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1:1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</sheetData>
  <mergeCells count="3">
    <mergeCell ref="A1:AC1"/>
    <mergeCell ref="A2:AC2"/>
    <mergeCell ref="G4:I4"/>
  </mergeCells>
  <phoneticPr fontId="21" type="noConversion"/>
  <conditionalFormatting sqref="AA7:AA38 Y7:Y38 AC7:AC38">
    <cfRule type="cellIs" dxfId="356" priority="4" operator="equal">
      <formula>3</formula>
    </cfRule>
    <cfRule type="cellIs" dxfId="355" priority="5" operator="equal">
      <formula>2</formula>
    </cfRule>
    <cfRule type="cellIs" dxfId="354" priority="6" operator="equal">
      <formula>1</formula>
    </cfRule>
  </conditionalFormatting>
  <conditionalFormatting sqref="P18:P22">
    <cfRule type="cellIs" dxfId="353" priority="10" operator="equal">
      <formula>3</formula>
    </cfRule>
    <cfRule type="cellIs" dxfId="352" priority="11" operator="equal">
      <formula>2</formula>
    </cfRule>
    <cfRule type="cellIs" dxfId="351" priority="12" operator="equal">
      <formula>1</formula>
    </cfRule>
  </conditionalFormatting>
  <pageMargins left="0.75" right="0.75" top="1" bottom="1" header="0.5" footer="0.5"/>
  <pageSetup paperSize="9" scale="52" orientation="landscape" horizontalDpi="4294967292" verticalDpi="4294967292"/>
  <colBreaks count="1" manualBreakCount="1">
    <brk id="29" max="1048575" man="1"/>
  </colBreaks>
  <ignoredErrors>
    <ignoredError sqref="Z7:Z8 Z9:Z38" formula="1"/>
  </ignoredErrors>
  <tableParts count="2">
    <tablePart r:id="rId1"/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C24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5" bestFit="1" customWidth="1"/>
    <col min="2" max="2" width="5.125" bestFit="1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5.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</cols>
  <sheetData>
    <row r="1" spans="1:81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</row>
    <row r="2" spans="1:81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0"/>
      <c r="BI2" s="90"/>
    </row>
    <row r="3" spans="1:81" ht="23.25"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21">
      <c r="A4" s="8"/>
      <c r="F4" s="1"/>
      <c r="G4" s="1"/>
      <c r="H4" s="1"/>
      <c r="I4" s="1"/>
      <c r="J4" s="1"/>
      <c r="K4" s="1"/>
      <c r="L4" s="467" t="s">
        <v>513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>
      <c r="V5" s="1"/>
    </row>
    <row r="6" spans="1:81">
      <c r="A6" s="470" t="s">
        <v>1223</v>
      </c>
      <c r="B6" s="471"/>
      <c r="C6" s="471"/>
      <c r="D6" s="471"/>
      <c r="E6" s="471"/>
      <c r="F6" s="472"/>
      <c r="G6" s="8"/>
      <c r="H6" s="8"/>
      <c r="I6" s="8"/>
      <c r="J6" s="8"/>
      <c r="K6" s="8"/>
      <c r="L6" s="470" t="s">
        <v>193</v>
      </c>
      <c r="M6" s="471"/>
      <c r="N6" s="471"/>
      <c r="O6" s="471"/>
      <c r="P6" s="471"/>
      <c r="Q6" s="472"/>
      <c r="R6" s="106"/>
      <c r="S6" s="106"/>
      <c r="T6" s="106"/>
      <c r="U6" s="106"/>
      <c r="V6" s="106"/>
      <c r="W6" s="113"/>
      <c r="X6" s="113"/>
      <c r="Y6" s="39" t="s">
        <v>12</v>
      </c>
      <c r="Z6" s="43" t="s">
        <v>5</v>
      </c>
      <c r="AA6" s="44" t="s">
        <v>11</v>
      </c>
      <c r="AB6" s="113"/>
      <c r="AC6" s="8"/>
      <c r="AD6" s="8"/>
      <c r="AE6" s="8"/>
      <c r="AF6" s="8"/>
      <c r="AG6" s="8"/>
    </row>
    <row r="7" spans="1:8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0" t="s">
        <v>6</v>
      </c>
      <c r="H7" s="11"/>
      <c r="I7" s="11" t="s">
        <v>7</v>
      </c>
      <c r="J7" s="11"/>
      <c r="L7" s="9" t="s">
        <v>0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R7" s="116" t="s">
        <v>6</v>
      </c>
      <c r="S7" s="117"/>
      <c r="T7" s="117" t="s">
        <v>7</v>
      </c>
      <c r="U7" s="117"/>
      <c r="V7" s="1"/>
      <c r="W7" s="111"/>
      <c r="X7" s="111"/>
      <c r="Y7" s="45" t="s">
        <v>216</v>
      </c>
      <c r="Z7" s="47">
        <f>F14</f>
        <v>74.900000000000006</v>
      </c>
      <c r="AA7" s="40">
        <f>SUMPRODUCT((Z$7:Z$8&gt;Z7)/COUNTIF(Z$7:Z$8,Z$7:Z$8&amp;""))+1</f>
        <v>1</v>
      </c>
      <c r="AB7" s="111"/>
      <c r="AC7" s="112" t="s">
        <v>6</v>
      </c>
      <c r="AD7" s="11"/>
      <c r="AE7" s="11" t="s">
        <v>7</v>
      </c>
      <c r="AF7" s="11"/>
    </row>
    <row r="8" spans="1:81">
      <c r="A8" s="12" t="s">
        <v>8</v>
      </c>
      <c r="B8" s="149">
        <v>1201</v>
      </c>
      <c r="C8" s="93" t="s">
        <v>208</v>
      </c>
      <c r="D8" s="13">
        <v>9.9499999999999993</v>
      </c>
      <c r="E8" s="13">
        <v>8.8000000000000007</v>
      </c>
      <c r="F8" s="13">
        <f>SUM(D8:E8)</f>
        <v>18.75</v>
      </c>
      <c r="G8" s="11">
        <f t="shared" ref="G8:G13" si="0">IF(A8="M",D8)</f>
        <v>9.9499999999999993</v>
      </c>
      <c r="H8" s="11" t="b">
        <f t="shared" ref="H8:H13" si="1">IF(A8="F",D8)</f>
        <v>0</v>
      </c>
      <c r="I8" s="11">
        <f t="shared" ref="I8:I13" si="2">IF(A8="M",E8)</f>
        <v>8.8000000000000007</v>
      </c>
      <c r="J8" s="11" t="b">
        <f t="shared" ref="J8:J13" si="3">IF(A8="F",E8)</f>
        <v>0</v>
      </c>
      <c r="L8" s="12" t="s">
        <v>8</v>
      </c>
      <c r="M8" s="149">
        <v>1207</v>
      </c>
      <c r="N8" s="240" t="s">
        <v>213</v>
      </c>
      <c r="O8" s="13">
        <v>9.5</v>
      </c>
      <c r="P8" s="13">
        <v>8.5500000000000007</v>
      </c>
      <c r="Q8" s="13">
        <f>SUM(O8:P8)</f>
        <v>18.05</v>
      </c>
      <c r="R8" s="117">
        <f t="shared" ref="R8:R9" si="4">IF(L8="M",O8)</f>
        <v>9.5</v>
      </c>
      <c r="S8" s="117" t="b">
        <f t="shared" ref="S8:S9" si="5">IF(L8="F",O8)</f>
        <v>0</v>
      </c>
      <c r="T8" s="117">
        <f t="shared" ref="T8:T9" si="6">IF(L8="M",P8)</f>
        <v>8.5500000000000007</v>
      </c>
      <c r="U8" s="117" t="b">
        <f t="shared" ref="U8:U9" si="7">IF(L8="F",P8)</f>
        <v>0</v>
      </c>
      <c r="V8" s="1"/>
      <c r="W8" s="102"/>
      <c r="X8" s="102"/>
      <c r="Y8" s="45" t="s">
        <v>217</v>
      </c>
      <c r="Z8" s="62">
        <f>Q14</f>
        <v>73</v>
      </c>
      <c r="AA8" s="40">
        <f>SUMPRODUCT((Z$7:Z$8&gt;Z8)/COUNTIF(Z$7:Z$8,Z$7:Z$8&amp;""))+1</f>
        <v>2</v>
      </c>
      <c r="AB8" s="73"/>
      <c r="AC8" s="11" t="b">
        <f t="shared" ref="AC8:AC13" si="8">IF(W8="M",Z8)</f>
        <v>0</v>
      </c>
      <c r="AD8" s="11" t="b">
        <f t="shared" ref="AD8:AD13" si="9">IF(W8="F",Z8)</f>
        <v>0</v>
      </c>
      <c r="AE8" s="11" t="b">
        <f t="shared" ref="AE8:AE13" si="10">IF(W8="M",AA8)</f>
        <v>0</v>
      </c>
      <c r="AF8" s="11" t="b">
        <f t="shared" ref="AF8:AF13" si="11">IF(W8="F",AA8)</f>
        <v>0</v>
      </c>
    </row>
    <row r="9" spans="1:81">
      <c r="A9" s="12" t="s">
        <v>8</v>
      </c>
      <c r="B9" s="149">
        <v>1202</v>
      </c>
      <c r="C9" t="s">
        <v>209</v>
      </c>
      <c r="D9" s="13">
        <v>9.65</v>
      </c>
      <c r="E9" s="13">
        <v>8.75</v>
      </c>
      <c r="F9" s="13">
        <f>SUM(D9:E9)</f>
        <v>18.399999999999999</v>
      </c>
      <c r="G9" s="11">
        <f t="shared" si="0"/>
        <v>9.65</v>
      </c>
      <c r="H9" s="11" t="b">
        <f t="shared" si="1"/>
        <v>0</v>
      </c>
      <c r="I9" s="11">
        <f t="shared" si="2"/>
        <v>8.75</v>
      </c>
      <c r="J9" s="11" t="b">
        <f t="shared" si="3"/>
        <v>0</v>
      </c>
      <c r="L9" s="12" t="s">
        <v>8</v>
      </c>
      <c r="M9" s="149">
        <v>1208</v>
      </c>
      <c r="N9" t="s">
        <v>212</v>
      </c>
      <c r="O9" s="13">
        <v>9.85</v>
      </c>
      <c r="P9" s="13">
        <v>8.5</v>
      </c>
      <c r="Q9" s="13">
        <f>SUM(O9:P9)</f>
        <v>18.350000000000001</v>
      </c>
      <c r="R9" s="117">
        <f t="shared" si="4"/>
        <v>9.85</v>
      </c>
      <c r="S9" s="117" t="b">
        <f t="shared" si="5"/>
        <v>0</v>
      </c>
      <c r="T9" s="117">
        <f t="shared" si="6"/>
        <v>8.5</v>
      </c>
      <c r="U9" s="117" t="b">
        <f t="shared" si="7"/>
        <v>0</v>
      </c>
      <c r="V9" s="1"/>
      <c r="W9" s="102"/>
      <c r="X9" s="102"/>
      <c r="Y9" s="103"/>
      <c r="Z9" s="73"/>
      <c r="AA9" s="73"/>
      <c r="AB9" s="73"/>
      <c r="AC9" s="11" t="b">
        <f t="shared" si="8"/>
        <v>0</v>
      </c>
      <c r="AD9" s="11" t="b">
        <f t="shared" si="9"/>
        <v>0</v>
      </c>
      <c r="AE9" s="11" t="b">
        <f t="shared" si="10"/>
        <v>0</v>
      </c>
      <c r="AF9" s="11" t="b">
        <f t="shared" si="11"/>
        <v>0</v>
      </c>
    </row>
    <row r="10" spans="1:81">
      <c r="A10" s="12" t="s">
        <v>9</v>
      </c>
      <c r="B10" s="149">
        <v>1203</v>
      </c>
      <c r="C10" s="93" t="s">
        <v>506</v>
      </c>
      <c r="D10" s="13">
        <v>9.9</v>
      </c>
      <c r="E10" s="13">
        <v>8.65</v>
      </c>
      <c r="F10" s="13">
        <f t="shared" ref="F10:F13" si="12">SUM(D10:E10)</f>
        <v>18.55</v>
      </c>
      <c r="G10" s="11" t="b">
        <f t="shared" si="0"/>
        <v>0</v>
      </c>
      <c r="H10" s="11">
        <f t="shared" si="1"/>
        <v>9.9</v>
      </c>
      <c r="I10" s="11" t="b">
        <f t="shared" si="2"/>
        <v>0</v>
      </c>
      <c r="J10" s="11">
        <f t="shared" si="3"/>
        <v>8.65</v>
      </c>
      <c r="L10" s="456" t="s">
        <v>8</v>
      </c>
      <c r="M10" s="396">
        <v>1209</v>
      </c>
      <c r="N10" s="436" t="s">
        <v>211</v>
      </c>
      <c r="O10" s="398">
        <v>0</v>
      </c>
      <c r="P10" s="398">
        <v>0</v>
      </c>
      <c r="Q10" s="398">
        <f t="shared" ref="Q10:Q13" si="13">SUM(O10:P10)</f>
        <v>0</v>
      </c>
      <c r="R10" s="117" t="b">
        <f>IF(L11="M",O10)</f>
        <v>0</v>
      </c>
      <c r="S10" s="117">
        <f>IF(L11="F",O10)</f>
        <v>0</v>
      </c>
      <c r="T10" s="117" t="b">
        <f>IF(L11="M",P10)</f>
        <v>0</v>
      </c>
      <c r="U10" s="117">
        <f>IF(L11="F",P10)</f>
        <v>0</v>
      </c>
      <c r="V10" s="1"/>
      <c r="W10" s="102"/>
      <c r="X10" s="102"/>
      <c r="Y10" s="103"/>
      <c r="Z10" s="73"/>
      <c r="AA10" s="73"/>
      <c r="AB10" s="73"/>
      <c r="AC10" s="11" t="b">
        <f t="shared" si="8"/>
        <v>0</v>
      </c>
      <c r="AD10" s="11" t="b">
        <f t="shared" si="9"/>
        <v>0</v>
      </c>
      <c r="AE10" s="11" t="b">
        <f t="shared" si="10"/>
        <v>0</v>
      </c>
      <c r="AF10" s="11" t="b">
        <f t="shared" si="11"/>
        <v>0</v>
      </c>
    </row>
    <row r="11" spans="1:81">
      <c r="A11" s="12" t="s">
        <v>9</v>
      </c>
      <c r="B11" s="149">
        <v>1204</v>
      </c>
      <c r="C11" s="93" t="s">
        <v>514</v>
      </c>
      <c r="D11" s="14">
        <v>10.6</v>
      </c>
      <c r="E11" s="14">
        <v>8.5500000000000007</v>
      </c>
      <c r="F11" s="13">
        <f t="shared" si="12"/>
        <v>19.149999999999999</v>
      </c>
      <c r="G11" s="15" t="b">
        <f t="shared" si="0"/>
        <v>0</v>
      </c>
      <c r="H11" s="15">
        <f t="shared" si="1"/>
        <v>10.6</v>
      </c>
      <c r="I11" s="15" t="b">
        <f t="shared" si="2"/>
        <v>0</v>
      </c>
      <c r="J11" s="15">
        <f t="shared" si="3"/>
        <v>8.5500000000000007</v>
      </c>
      <c r="K11" s="8"/>
      <c r="L11" s="12" t="s">
        <v>9</v>
      </c>
      <c r="M11" s="149">
        <v>1210</v>
      </c>
      <c r="N11" s="93" t="s">
        <v>214</v>
      </c>
      <c r="O11" s="14">
        <v>9.8000000000000007</v>
      </c>
      <c r="P11" s="14">
        <v>8.4499999999999993</v>
      </c>
      <c r="Q11" s="13">
        <f t="shared" si="13"/>
        <v>18.25</v>
      </c>
      <c r="R11" s="23" t="b">
        <f>IF(L12="M",O11)</f>
        <v>0</v>
      </c>
      <c r="S11" s="23">
        <f>IF(L12="F",O11)</f>
        <v>9.8000000000000007</v>
      </c>
      <c r="T11" s="23" t="b">
        <f>IF(L12="M",P11)</f>
        <v>0</v>
      </c>
      <c r="U11" s="23">
        <f>IF(L12="F",P11)</f>
        <v>8.4499999999999993</v>
      </c>
      <c r="V11" s="106"/>
      <c r="W11" s="102"/>
      <c r="X11" s="102"/>
      <c r="Y11" s="103"/>
      <c r="Z11" s="68"/>
      <c r="AA11" s="68"/>
      <c r="AB11" s="73"/>
      <c r="AC11" s="15" t="b">
        <f t="shared" si="8"/>
        <v>0</v>
      </c>
      <c r="AD11" s="15" t="b">
        <f t="shared" si="9"/>
        <v>0</v>
      </c>
      <c r="AE11" s="15" t="b">
        <f t="shared" si="10"/>
        <v>0</v>
      </c>
      <c r="AF11" s="15" t="b">
        <f t="shared" si="11"/>
        <v>0</v>
      </c>
      <c r="AG11" s="8"/>
    </row>
    <row r="12" spans="1:81">
      <c r="A12" s="12" t="s">
        <v>9</v>
      </c>
      <c r="B12" s="149">
        <v>1205</v>
      </c>
      <c r="C12" s="93" t="s">
        <v>508</v>
      </c>
      <c r="D12" s="14">
        <v>9.9</v>
      </c>
      <c r="E12" s="14">
        <v>8.5</v>
      </c>
      <c r="F12" s="13">
        <f t="shared" si="12"/>
        <v>18.399999999999999</v>
      </c>
      <c r="G12" s="15" t="b">
        <f t="shared" si="0"/>
        <v>0</v>
      </c>
      <c r="H12" s="15">
        <f t="shared" si="1"/>
        <v>9.9</v>
      </c>
      <c r="I12" s="15" t="b">
        <f t="shared" si="2"/>
        <v>0</v>
      </c>
      <c r="J12" s="15">
        <f t="shared" si="3"/>
        <v>8.5</v>
      </c>
      <c r="K12" s="8"/>
      <c r="L12" s="12" t="s">
        <v>9</v>
      </c>
      <c r="M12" s="149">
        <v>1211</v>
      </c>
      <c r="N12" s="93" t="s">
        <v>512</v>
      </c>
      <c r="O12" s="14">
        <v>9.25</v>
      </c>
      <c r="P12" s="14">
        <v>8.8000000000000007</v>
      </c>
      <c r="Q12" s="13">
        <f t="shared" si="13"/>
        <v>18.05</v>
      </c>
      <c r="R12" s="23" t="b">
        <f>IF(L13="M",O12)</f>
        <v>0</v>
      </c>
      <c r="S12" s="23">
        <f>IF(L13="F",O12)</f>
        <v>9.25</v>
      </c>
      <c r="T12" s="23" t="b">
        <f>IF(L13="M",P12)</f>
        <v>0</v>
      </c>
      <c r="U12" s="23">
        <f>IF(L13="F",P12)</f>
        <v>8.8000000000000007</v>
      </c>
      <c r="V12" s="106"/>
      <c r="W12" s="102"/>
      <c r="X12" s="102"/>
      <c r="Y12" s="103"/>
      <c r="Z12" s="68"/>
      <c r="AA12" s="68"/>
      <c r="AB12" s="73"/>
      <c r="AC12" s="15" t="b">
        <f t="shared" si="8"/>
        <v>0</v>
      </c>
      <c r="AD12" s="15" t="b">
        <f t="shared" si="9"/>
        <v>0</v>
      </c>
      <c r="AE12" s="15" t="b">
        <f t="shared" si="10"/>
        <v>0</v>
      </c>
      <c r="AF12" s="15" t="b">
        <f t="shared" si="11"/>
        <v>0</v>
      </c>
      <c r="AG12" s="8"/>
    </row>
    <row r="13" spans="1:81" ht="16.5" thickBot="1">
      <c r="A13" s="12" t="s">
        <v>9</v>
      </c>
      <c r="B13" s="149">
        <v>1206</v>
      </c>
      <c r="C13" s="93" t="s">
        <v>505</v>
      </c>
      <c r="D13" s="14">
        <v>9.8000000000000007</v>
      </c>
      <c r="E13" s="14">
        <v>8.6</v>
      </c>
      <c r="F13" s="13">
        <f t="shared" si="12"/>
        <v>18.399999999999999</v>
      </c>
      <c r="G13" s="15" t="b">
        <f t="shared" si="0"/>
        <v>0</v>
      </c>
      <c r="H13" s="15">
        <f t="shared" si="1"/>
        <v>9.8000000000000007</v>
      </c>
      <c r="I13" s="15" t="b">
        <f t="shared" si="2"/>
        <v>0</v>
      </c>
      <c r="J13" s="15">
        <f t="shared" si="3"/>
        <v>8.6</v>
      </c>
      <c r="K13" s="8"/>
      <c r="L13" s="12" t="s">
        <v>9</v>
      </c>
      <c r="M13" s="149">
        <v>1212</v>
      </c>
      <c r="N13" s="93" t="s">
        <v>1226</v>
      </c>
      <c r="O13" s="14">
        <v>9.5500000000000007</v>
      </c>
      <c r="P13" s="14">
        <v>8.4</v>
      </c>
      <c r="Q13" s="13">
        <f t="shared" si="13"/>
        <v>17.950000000000003</v>
      </c>
      <c r="R13" s="23">
        <f>IF(L10="M",O13)</f>
        <v>9.5500000000000007</v>
      </c>
      <c r="S13" s="23" t="b">
        <f>IF(L10="F",O13)</f>
        <v>0</v>
      </c>
      <c r="T13" s="23">
        <f>IF(L10="M",P13)</f>
        <v>8.4</v>
      </c>
      <c r="U13" s="23" t="b">
        <f>IF(L10="F",P13)</f>
        <v>0</v>
      </c>
      <c r="V13" s="106"/>
      <c r="W13" s="102"/>
      <c r="X13" s="102"/>
      <c r="Y13" s="103"/>
      <c r="Z13" s="68"/>
      <c r="AA13" s="68"/>
      <c r="AB13" s="73"/>
      <c r="AC13" s="15" t="b">
        <f t="shared" si="8"/>
        <v>0</v>
      </c>
      <c r="AD13" s="15" t="b">
        <f t="shared" si="9"/>
        <v>0</v>
      </c>
      <c r="AE13" s="15" t="b">
        <f t="shared" si="10"/>
        <v>0</v>
      </c>
      <c r="AF13" s="15" t="b">
        <f t="shared" si="11"/>
        <v>0</v>
      </c>
      <c r="AG13" s="8"/>
    </row>
    <row r="14" spans="1:81" ht="16.5" thickBot="1">
      <c r="A14" s="8"/>
      <c r="B14" s="8"/>
      <c r="C14" s="18" t="s">
        <v>10</v>
      </c>
      <c r="D14" s="19">
        <f>G15+H15</f>
        <v>40.1</v>
      </c>
      <c r="E14" s="19">
        <f>I15+J15</f>
        <v>34.800000000000004</v>
      </c>
      <c r="F14" s="20">
        <f>SUM(D14:E14)</f>
        <v>74.900000000000006</v>
      </c>
      <c r="G14" s="8">
        <f>COUNTIF(A8:A13,"M")</f>
        <v>2</v>
      </c>
      <c r="H14" s="8">
        <f>COUNTIF(A8:A13,"F")</f>
        <v>4</v>
      </c>
      <c r="I14" s="8">
        <f>COUNTIF(A8:A13,"M")</f>
        <v>2</v>
      </c>
      <c r="J14" s="8">
        <f>COUNTIF(A8:A13,"F")</f>
        <v>4</v>
      </c>
      <c r="K14" s="8"/>
      <c r="L14" s="8"/>
      <c r="M14" s="8"/>
      <c r="N14" s="18" t="s">
        <v>10</v>
      </c>
      <c r="O14" s="19">
        <v>38.700000000000003</v>
      </c>
      <c r="P14" s="19">
        <v>34.299999999999997</v>
      </c>
      <c r="Q14" s="20">
        <f>SUM(O14:P14)</f>
        <v>73</v>
      </c>
      <c r="R14" s="106">
        <f>COUNTIF(L8:L10,"M")</f>
        <v>3</v>
      </c>
      <c r="S14" s="106">
        <f>COUNTIF(L8:L10,"F")</f>
        <v>0</v>
      </c>
      <c r="T14" s="106">
        <f>COUNTIF(L8:L10,"M")</f>
        <v>3</v>
      </c>
      <c r="U14" s="106">
        <f>COUNTIF(L8:L10,"F")</f>
        <v>0</v>
      </c>
      <c r="V14" s="106"/>
      <c r="W14" s="106"/>
      <c r="X14" s="106"/>
      <c r="Y14" s="84"/>
      <c r="Z14" s="64"/>
      <c r="AA14" s="64"/>
      <c r="AB14" s="105"/>
      <c r="AC14" s="8">
        <f>COUNTIF(W8:W13,"M")</f>
        <v>0</v>
      </c>
      <c r="AD14" s="8">
        <f>COUNTIF(W8:W13,"F")</f>
        <v>0</v>
      </c>
      <c r="AE14" s="8">
        <f>COUNTIF(W8:W13,"M")</f>
        <v>0</v>
      </c>
      <c r="AF14" s="8">
        <f>COUNTIF(W8:W13,"F")</f>
        <v>0</v>
      </c>
      <c r="AG14" s="8"/>
    </row>
    <row r="15" spans="1:81">
      <c r="A15" s="8"/>
      <c r="B15" s="21"/>
      <c r="C15" s="94" t="s">
        <v>1302</v>
      </c>
      <c r="D15" s="8"/>
      <c r="E15" s="18"/>
      <c r="F15" s="22"/>
      <c r="G15" s="23">
        <f>IF(G14=2,SUM(G8:G13),IF(G14=3,SUM(G8:G13)-SMALL(G8:G13,1),IF(G14=4,SUM(G8:G13)-SMALL(G8:G13,1)-SMALL(G8:G13,2))))</f>
        <v>19.600000000000001</v>
      </c>
      <c r="H15" s="23">
        <f>IF(H14=2,SUM(H8:H13),IF(H14=3,SUM(H8:H13)-SMALL(H8:H13,1),IF(H14=4,SUM(H8:H13)-SMALL(H8:H13,1)-SMALL(H8:H13,2))))</f>
        <v>20.5</v>
      </c>
      <c r="I15" s="23">
        <f>IF(I14=2,SUM(I8:I13),IF(I14=3,SUM(I8:I13)-SMALL(I8:I13,1),IF(I14=4,SUM(I8:I13)-SMALL(I8:I13,1)-SMALL(I8:I13,2))))</f>
        <v>17.55</v>
      </c>
      <c r="J15" s="23">
        <f>IF(J14=2,SUM(J8:J13),IF(J14=3,SUM(J8:J13)-SMALL(J8:J13,1),IF(J14=4,SUM(J8:J13)-SMALL(J8:J13,1)-SMALL(J8:J13,2))))</f>
        <v>17.250000000000004</v>
      </c>
      <c r="K15" s="8"/>
      <c r="L15" s="8"/>
      <c r="M15" s="21"/>
      <c r="N15" s="94" t="s">
        <v>1302</v>
      </c>
      <c r="O15" s="8"/>
      <c r="P15" s="18"/>
      <c r="Q15" s="22"/>
      <c r="R15" s="23">
        <f>IF(R14=2,SUM(R8:R13),IF(R14=3,SUM(R8:R13)-SMALL(R8:R13,1),IF(R14=4,SUM(R8:R13)-SMALL(R8:R13,1)-SMALL(R8:R13,2))))</f>
        <v>19.400000000000002</v>
      </c>
      <c r="S15" s="23" t="b">
        <f>IF(S14=2,SUM(S8:S13),IF(S14=3,SUM(S8:S13)-SMALL(S8:S13,1),IF(S14=4,SUM(S8:S13)-SMALL(S8:S13,1)-SMALL(S8:S13,2))))</f>
        <v>0</v>
      </c>
      <c r="T15" s="23">
        <f>IF(T14=2,SUM(T8:T13),IF(T14=3,SUM(T8:T13)-SMALL(T8:T13,1),IF(T14=4,SUM(T8:T13)-SMALL(T8:T13,1)-SMALL(T8:T13,2))))</f>
        <v>17.050000000000004</v>
      </c>
      <c r="U15" s="23" t="b">
        <f>IF(U14=2,SUM(U8:U13),IF(U14=3,SUM(U8:U13)-SMALL(U8:U13,1),IF(U14=4,SUM(U8:U13)-SMALL(U8:U13,1)-SMALL(U8:U13,2))))</f>
        <v>0</v>
      </c>
      <c r="V15" s="8"/>
      <c r="W15" s="8"/>
      <c r="X15" s="21"/>
      <c r="Y15" s="8"/>
      <c r="Z15" s="8"/>
      <c r="AA15" s="18"/>
      <c r="AB15" s="22"/>
      <c r="AC15" s="23" t="b">
        <f>IF(AC14=2,SUM(AC8:AC13),IF(AC14=3,SUM(AC8:AC13)-SMALL(AC8:AC13,1),IF(AC14=4,SUM(AC8:AC13)-SMALL(AC8:AC13,1)-SMALL(AC8:AC13,2))))</f>
        <v>0</v>
      </c>
      <c r="AD15" s="23" t="b">
        <f>IF(AD14=2,SUM(AD8:AD13),IF(AD14=3,SUM(AD8:AD13)-SMALL(AD8:AD13,1),IF(AD14=4,SUM(AD8:AD13)-SMALL(AD8:AD13,1)-SMALL(AD8:AD13,2))))</f>
        <v>0</v>
      </c>
      <c r="AE15" s="23" t="b">
        <f>IF(AE14=2,SUM(AE8:AE13),IF(AE14=3,SUM(AE8:AE13)-SMALL(AE8:AE13,1),IF(AE14=4,SUM(AE8:AE13)-SMALL(AE8:AE13,1)-SMALL(AE8:AE13,2))))</f>
        <v>0</v>
      </c>
      <c r="AF15" s="23" t="b">
        <f>IF(AF14=2,SUM(AF8:AF13),IF(AF14=3,SUM(AF8:AF13)-SMALL(AF8:AF13,1),IF(AF14=4,SUM(AF8:AF13)-SMALL(AF8:AF13,1)-SMALL(AF8:AF13,2))))</f>
        <v>0</v>
      </c>
      <c r="AG15" s="8"/>
    </row>
    <row r="16" spans="1:81">
      <c r="A16" s="113"/>
      <c r="B16" s="113"/>
      <c r="C16" s="113"/>
      <c r="D16" s="113"/>
      <c r="E16" s="113"/>
      <c r="F16" s="113"/>
    </row>
    <row r="17" spans="1:6">
      <c r="A17" s="111"/>
      <c r="B17" s="111"/>
      <c r="C17" s="111"/>
      <c r="D17" s="111"/>
      <c r="E17" s="111"/>
      <c r="F17" s="111"/>
    </row>
    <row r="18" spans="1:6">
      <c r="A18" s="102"/>
      <c r="B18" s="152"/>
      <c r="C18" s="258"/>
      <c r="D18" s="73"/>
      <c r="E18" s="73"/>
      <c r="F18" s="73"/>
    </row>
    <row r="19" spans="1:6">
      <c r="A19" s="102"/>
      <c r="B19" s="152"/>
      <c r="C19" s="1"/>
      <c r="D19" s="73"/>
      <c r="E19" s="73"/>
      <c r="F19" s="73"/>
    </row>
    <row r="20" spans="1:6">
      <c r="A20" s="102"/>
      <c r="B20" s="152"/>
      <c r="C20" s="110"/>
      <c r="D20" s="73"/>
      <c r="E20" s="73"/>
      <c r="F20" s="73"/>
    </row>
    <row r="21" spans="1:6">
      <c r="A21" s="102"/>
      <c r="B21" s="152"/>
      <c r="C21" s="110"/>
      <c r="D21" s="68"/>
      <c r="E21" s="68"/>
      <c r="F21" s="73"/>
    </row>
    <row r="22" spans="1:6">
      <c r="A22" s="102"/>
      <c r="B22" s="152"/>
      <c r="C22" s="110"/>
      <c r="D22" s="68"/>
      <c r="E22" s="68"/>
      <c r="F22" s="73"/>
    </row>
    <row r="23" spans="1:6">
      <c r="A23" s="102"/>
      <c r="B23" s="152"/>
      <c r="C23" s="110"/>
      <c r="D23" s="68"/>
      <c r="E23" s="68"/>
      <c r="F23" s="73"/>
    </row>
    <row r="24" spans="1:6">
      <c r="A24" s="106"/>
      <c r="B24" s="106"/>
      <c r="C24" s="84"/>
      <c r="D24" s="64"/>
      <c r="E24" s="64"/>
      <c r="F24" s="105"/>
    </row>
  </sheetData>
  <mergeCells count="5">
    <mergeCell ref="A1:AB1"/>
    <mergeCell ref="A2:AB2"/>
    <mergeCell ref="L4:O4"/>
    <mergeCell ref="A6:F6"/>
    <mergeCell ref="L6:Q6"/>
  </mergeCells>
  <phoneticPr fontId="21" type="noConversion"/>
  <conditionalFormatting sqref="AA7:AA8">
    <cfRule type="cellIs" dxfId="332" priority="1" operator="equal">
      <formula>3</formula>
    </cfRule>
    <cfRule type="cellIs" dxfId="331" priority="2" operator="equal">
      <formula>2</formula>
    </cfRule>
    <cfRule type="cellIs" dxfId="330" priority="3" operator="equal">
      <formula>1</formula>
    </cfRule>
  </conditionalFormatting>
  <pageMargins left="0.7" right="0.7" top="0.75" bottom="0.75" header="0.3" footer="0.3"/>
  <pageSetup paperSize="9" scale="71" orientation="landscape" horizontalDpi="4294967292" verticalDpi="4294967292"/>
  <colBreaks count="1" manualBreakCount="1">
    <brk id="33" max="1048575" man="1"/>
  </colBreaks>
  <ignoredErrors>
    <ignoredError sqref="Z7:Z8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32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4.875" customWidth="1"/>
    <col min="2" max="2" width="18.5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19.625" bestFit="1" customWidth="1"/>
    <col min="9" max="9" width="7.125" customWidth="1"/>
    <col min="10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8.125" customWidth="1"/>
    <col min="22" max="22" width="5.125" customWidth="1"/>
    <col min="23" max="23" width="21.375" bestFit="1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70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"/>
      <c r="BJ2" s="2"/>
    </row>
    <row r="3" spans="1:70" ht="28.5" customHeight="1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A4" s="8"/>
      <c r="E4" s="1"/>
      <c r="F4" s="1"/>
      <c r="G4" s="461" t="s">
        <v>111</v>
      </c>
      <c r="H4" s="462"/>
      <c r="I4" s="462"/>
      <c r="J4" s="473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6" spans="1:70" s="8" customFormat="1">
      <c r="A6" s="274" t="s">
        <v>1066</v>
      </c>
      <c r="B6" s="173"/>
      <c r="C6" s="173"/>
      <c r="D6" s="173"/>
      <c r="E6" s="174"/>
      <c r="F6" s="106"/>
      <c r="G6" s="274" t="s">
        <v>1138</v>
      </c>
      <c r="H6" s="223"/>
      <c r="I6" s="223"/>
      <c r="J6" s="223"/>
      <c r="K6" s="224"/>
      <c r="N6" s="39" t="s">
        <v>12</v>
      </c>
      <c r="O6" s="43" t="s">
        <v>5</v>
      </c>
      <c r="P6" s="44" t="s">
        <v>11</v>
      </c>
      <c r="R6" s="113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1"/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N7" s="45" t="s">
        <v>559</v>
      </c>
      <c r="O7" s="47">
        <f>E14</f>
        <v>48.85</v>
      </c>
      <c r="P7" s="40">
        <f>SUMPRODUCT((O$7:O$8&gt;O7)/COUNTIF(O$7:O$8,O$7:O$8&amp;""))+1</f>
        <v>2</v>
      </c>
      <c r="R7" s="1"/>
      <c r="U7" s="33" t="s">
        <v>81</v>
      </c>
      <c r="V7" s="149">
        <v>162</v>
      </c>
      <c r="W7" s="100" t="s">
        <v>685</v>
      </c>
      <c r="X7" s="14">
        <f>C19</f>
        <v>7.7</v>
      </c>
      <c r="Y7" s="283">
        <f>SUMPRODUCT((X$7:X$31&gt;X7)/COUNTIF(X$7:X$31,X$7:X$31&amp;""))+1</f>
        <v>15</v>
      </c>
      <c r="Z7" s="14">
        <f>D19</f>
        <v>7.5</v>
      </c>
      <c r="AA7" s="283">
        <f>SUMPRODUCT((Z$7:Z$31&gt;Z7)/COUNTIF(Z$7:Z$31,Z$7:Z$31&amp;""))+1</f>
        <v>6</v>
      </c>
      <c r="AB7" s="211">
        <f>Table35121314243[[#This Row],[Floor]]+Table35121314243[[#This Row],[Vault]]</f>
        <v>15.2</v>
      </c>
      <c r="AC7" s="283">
        <f>SUMPRODUCT((AB$7:AB$31&gt;AB7)/COUNTIF(AB$7:AB$31,AB$7:AB$31&amp;""))+1</f>
        <v>14</v>
      </c>
    </row>
    <row r="8" spans="1:70">
      <c r="A8" s="149">
        <v>150</v>
      </c>
      <c r="B8" s="42" t="s">
        <v>1067</v>
      </c>
      <c r="C8" s="13">
        <v>5</v>
      </c>
      <c r="D8" s="13">
        <v>6.4</v>
      </c>
      <c r="E8" s="13">
        <f>SUM(C8,D8)</f>
        <v>11.4</v>
      </c>
      <c r="F8" s="1"/>
      <c r="G8" s="149">
        <v>156</v>
      </c>
      <c r="H8" s="42" t="s">
        <v>1139</v>
      </c>
      <c r="I8" s="13">
        <v>8.1999999999999993</v>
      </c>
      <c r="J8" s="13">
        <v>6.3</v>
      </c>
      <c r="K8" s="13">
        <f>SUM(I8,J8)</f>
        <v>14.5</v>
      </c>
      <c r="N8" s="45" t="s">
        <v>1138</v>
      </c>
      <c r="O8" s="47">
        <f>K14</f>
        <v>63.1</v>
      </c>
      <c r="P8" s="40">
        <f>SUMPRODUCT((O$7:O$8&gt;O8)/COUNTIF(O$7:O$8,O$7:O$8&amp;""))+1</f>
        <v>1</v>
      </c>
      <c r="R8" s="1"/>
      <c r="U8" s="33" t="s">
        <v>222</v>
      </c>
      <c r="V8" s="149">
        <v>163</v>
      </c>
      <c r="W8" s="93" t="s">
        <v>159</v>
      </c>
      <c r="X8" s="14">
        <f>I19</f>
        <v>9</v>
      </c>
      <c r="Y8" s="283">
        <f t="shared" ref="Y8:Y31" si="0">SUMPRODUCT((X$7:X$31&gt;X8)/COUNTIF(X$7:X$31,X$7:X$31&amp;""))+1</f>
        <v>3</v>
      </c>
      <c r="Z8" s="14">
        <f>J19</f>
        <v>7.8</v>
      </c>
      <c r="AA8" s="283">
        <f t="shared" ref="AA8:AA31" si="1">SUMPRODUCT((Z$7:Z$31&gt;Z8)/COUNTIF(Z$7:Z$31,Z$7:Z$31&amp;""))+1</f>
        <v>3</v>
      </c>
      <c r="AB8" s="211">
        <f>Table35121314243[[#This Row],[Floor]]+Table35121314243[[#This Row],[Vault]]</f>
        <v>16.8</v>
      </c>
      <c r="AC8" s="283">
        <f t="shared" ref="AC8:AC31" si="2">SUMPRODUCT((AB$7:AB$31&gt;AB8)/COUNTIF(AB$7:AB$31,AB$7:AB$31&amp;""))+1</f>
        <v>4</v>
      </c>
    </row>
    <row r="9" spans="1:70">
      <c r="A9" s="149">
        <v>151</v>
      </c>
      <c r="B9" s="142" t="s">
        <v>1068</v>
      </c>
      <c r="C9" s="13">
        <v>5</v>
      </c>
      <c r="D9" s="13">
        <v>7.55</v>
      </c>
      <c r="E9" s="13">
        <f t="shared" ref="E9:E13" si="3">SUM(C9,D9)</f>
        <v>12.55</v>
      </c>
      <c r="F9" s="1"/>
      <c r="G9" s="149">
        <v>157</v>
      </c>
      <c r="H9" s="142" t="s">
        <v>1140</v>
      </c>
      <c r="I9" s="13">
        <v>8.15</v>
      </c>
      <c r="J9" s="13">
        <v>7.45</v>
      </c>
      <c r="K9" s="13">
        <f t="shared" ref="K9:K13" si="4">SUM(I9,J9)</f>
        <v>15.600000000000001</v>
      </c>
      <c r="R9" s="1"/>
      <c r="U9" s="33" t="s">
        <v>223</v>
      </c>
      <c r="V9" s="149">
        <v>164</v>
      </c>
      <c r="W9" s="100" t="s">
        <v>373</v>
      </c>
      <c r="X9" s="14">
        <f>O19</f>
        <v>8.0500000000000007</v>
      </c>
      <c r="Y9" s="283">
        <f t="shared" si="0"/>
        <v>13</v>
      </c>
      <c r="Z9" s="14">
        <f>P19</f>
        <v>7.45</v>
      </c>
      <c r="AA9" s="283">
        <f t="shared" si="1"/>
        <v>6.9999999999999991</v>
      </c>
      <c r="AB9" s="211">
        <f>Table35121314243[[#This Row],[Floor]]+Table35121314243[[#This Row],[Vault]]</f>
        <v>15.5</v>
      </c>
      <c r="AC9" s="283">
        <f t="shared" si="2"/>
        <v>13</v>
      </c>
    </row>
    <row r="10" spans="1:70">
      <c r="A10" s="149">
        <v>152</v>
      </c>
      <c r="B10" s="42" t="s">
        <v>1069</v>
      </c>
      <c r="C10" s="13">
        <v>5</v>
      </c>
      <c r="D10" s="13">
        <v>7.4</v>
      </c>
      <c r="E10" s="13">
        <f t="shared" si="3"/>
        <v>12.4</v>
      </c>
      <c r="F10" s="1"/>
      <c r="G10" s="149">
        <v>158</v>
      </c>
      <c r="H10" s="42" t="s">
        <v>1141</v>
      </c>
      <c r="I10" s="13">
        <v>8.65</v>
      </c>
      <c r="J10" s="13">
        <v>7.35</v>
      </c>
      <c r="K10" s="13">
        <f t="shared" si="4"/>
        <v>16</v>
      </c>
      <c r="R10" s="1"/>
      <c r="U10" s="33" t="s">
        <v>223</v>
      </c>
      <c r="V10" s="149">
        <v>165</v>
      </c>
      <c r="W10" s="100" t="s">
        <v>944</v>
      </c>
      <c r="X10" s="14">
        <f>O20</f>
        <v>7.55</v>
      </c>
      <c r="Y10" s="283">
        <f t="shared" si="0"/>
        <v>16</v>
      </c>
      <c r="Z10" s="14">
        <f>P20</f>
        <v>7.55</v>
      </c>
      <c r="AA10" s="283">
        <f t="shared" si="1"/>
        <v>5</v>
      </c>
      <c r="AB10" s="211">
        <f>Table35121314243[[#This Row],[Floor]]+Table35121314243[[#This Row],[Vault]]</f>
        <v>15.1</v>
      </c>
      <c r="AC10" s="283">
        <f t="shared" si="2"/>
        <v>15</v>
      </c>
    </row>
    <row r="11" spans="1:70">
      <c r="A11" s="149">
        <v>153</v>
      </c>
      <c r="B11" s="42" t="s">
        <v>1070</v>
      </c>
      <c r="C11" s="13">
        <v>5</v>
      </c>
      <c r="D11" s="13">
        <v>7.5</v>
      </c>
      <c r="E11" s="13">
        <f t="shared" si="3"/>
        <v>12.5</v>
      </c>
      <c r="F11" s="1"/>
      <c r="G11" s="149">
        <v>159</v>
      </c>
      <c r="H11" s="301" t="s">
        <v>1142</v>
      </c>
      <c r="I11" s="13">
        <v>8.5</v>
      </c>
      <c r="J11" s="13">
        <v>8.5</v>
      </c>
      <c r="K11" s="13">
        <f t="shared" si="4"/>
        <v>17</v>
      </c>
      <c r="R11" s="1"/>
      <c r="U11" s="400" t="s">
        <v>391</v>
      </c>
      <c r="V11" s="396">
        <v>166</v>
      </c>
      <c r="W11" s="438" t="s">
        <v>1009</v>
      </c>
      <c r="X11" s="440">
        <f>C23</f>
        <v>0</v>
      </c>
      <c r="Y11" s="402">
        <f t="shared" si="0"/>
        <v>19</v>
      </c>
      <c r="Z11" s="440">
        <f>D23</f>
        <v>0</v>
      </c>
      <c r="AA11" s="402">
        <f t="shared" si="1"/>
        <v>17</v>
      </c>
      <c r="AB11" s="441">
        <f>Table35121314243[[#This Row],[Floor]]+Table35121314243[[#This Row],[Vault]]</f>
        <v>0</v>
      </c>
      <c r="AC11" s="402">
        <f t="shared" si="2"/>
        <v>23</v>
      </c>
    </row>
    <row r="12" spans="1:70">
      <c r="A12" s="149">
        <v>154</v>
      </c>
      <c r="B12" s="97"/>
      <c r="C12" s="13">
        <v>0</v>
      </c>
      <c r="D12" s="13">
        <v>0</v>
      </c>
      <c r="E12" s="13">
        <f t="shared" si="3"/>
        <v>0</v>
      </c>
      <c r="F12" s="1"/>
      <c r="G12" s="149">
        <v>160</v>
      </c>
      <c r="H12" s="97"/>
      <c r="I12" s="13">
        <v>0</v>
      </c>
      <c r="J12" s="13">
        <v>0</v>
      </c>
      <c r="K12" s="13">
        <f t="shared" si="4"/>
        <v>0</v>
      </c>
      <c r="R12" s="1"/>
      <c r="U12" s="33" t="s">
        <v>454</v>
      </c>
      <c r="V12" s="149">
        <v>150</v>
      </c>
      <c r="W12" s="42" t="s">
        <v>1067</v>
      </c>
      <c r="X12" s="17">
        <f>C8</f>
        <v>5</v>
      </c>
      <c r="Y12" s="283">
        <f t="shared" si="0"/>
        <v>18</v>
      </c>
      <c r="Z12" s="17">
        <f>D8</f>
        <v>6.4</v>
      </c>
      <c r="AA12" s="283">
        <f t="shared" si="1"/>
        <v>14.000000000000002</v>
      </c>
      <c r="AB12" s="211">
        <f>Table35121314243[[#This Row],[Floor]]+Table35121314243[[#This Row],[Vault]]</f>
        <v>11.4</v>
      </c>
      <c r="AC12" s="283">
        <f t="shared" si="2"/>
        <v>22</v>
      </c>
    </row>
    <row r="13" spans="1:70" ht="16.5" thickBot="1">
      <c r="A13" s="149">
        <v>155</v>
      </c>
      <c r="B13" s="97"/>
      <c r="C13" s="13">
        <v>0</v>
      </c>
      <c r="D13" s="13">
        <v>0</v>
      </c>
      <c r="E13" s="13">
        <f t="shared" si="3"/>
        <v>0</v>
      </c>
      <c r="F13" s="106"/>
      <c r="G13" s="149">
        <v>161</v>
      </c>
      <c r="H13" s="97"/>
      <c r="I13" s="13">
        <v>0</v>
      </c>
      <c r="J13" s="13">
        <v>0</v>
      </c>
      <c r="K13" s="13">
        <f t="shared" si="4"/>
        <v>0</v>
      </c>
      <c r="R13" s="1"/>
      <c r="U13" s="33" t="s">
        <v>454</v>
      </c>
      <c r="V13" s="149">
        <v>151</v>
      </c>
      <c r="W13" s="142" t="s">
        <v>1068</v>
      </c>
      <c r="X13" s="17">
        <f t="shared" ref="X13:X15" si="5">C9</f>
        <v>5</v>
      </c>
      <c r="Y13" s="283">
        <f t="shared" si="0"/>
        <v>18</v>
      </c>
      <c r="Z13" s="17">
        <f t="shared" ref="Z13:Z15" si="6">D9</f>
        <v>7.55</v>
      </c>
      <c r="AA13" s="283">
        <f t="shared" si="1"/>
        <v>5</v>
      </c>
      <c r="AB13" s="211">
        <f>Table35121314243[[#This Row],[Floor]]+Table35121314243[[#This Row],[Vault]]</f>
        <v>12.55</v>
      </c>
      <c r="AC13" s="283">
        <f t="shared" si="2"/>
        <v>19</v>
      </c>
    </row>
    <row r="14" spans="1:70" ht="16.5" thickBot="1">
      <c r="B14" s="25" t="s">
        <v>10</v>
      </c>
      <c r="C14" s="19">
        <f>SUM(C8:C13)-SMALL(C8:C13,1)-SMALL(C8:C13,2)</f>
        <v>20</v>
      </c>
      <c r="D14" s="19">
        <f>SUM(D8:D13)-SMALL(D8:D13,1)-SMALL(D8:D13,2)</f>
        <v>28.85</v>
      </c>
      <c r="E14" s="20">
        <f>SUM(C14:D14)</f>
        <v>48.85</v>
      </c>
      <c r="F14" s="106"/>
      <c r="H14" s="25" t="s">
        <v>10</v>
      </c>
      <c r="I14" s="19">
        <f>SUM(I8:I13)-SMALL(I8:I13,1)-SMALL(I8:I13,2)</f>
        <v>33.5</v>
      </c>
      <c r="J14" s="19">
        <f>SUM(J8:J13)-SMALL(J8:J13,1)-SMALL(J8:J13,2)</f>
        <v>29.6</v>
      </c>
      <c r="K14" s="20">
        <f>SUM(I14:J14)</f>
        <v>63.1</v>
      </c>
      <c r="L14" s="106"/>
      <c r="M14" s="152"/>
      <c r="Q14" s="73"/>
      <c r="R14" s="1"/>
      <c r="U14" s="33" t="s">
        <v>454</v>
      </c>
      <c r="V14" s="149">
        <v>152</v>
      </c>
      <c r="W14" s="42" t="s">
        <v>1069</v>
      </c>
      <c r="X14" s="17">
        <f t="shared" si="5"/>
        <v>5</v>
      </c>
      <c r="Y14" s="283">
        <f t="shared" si="0"/>
        <v>18</v>
      </c>
      <c r="Z14" s="17">
        <f>D10</f>
        <v>7.4</v>
      </c>
      <c r="AA14" s="283">
        <f t="shared" si="1"/>
        <v>8</v>
      </c>
      <c r="AB14" s="211">
        <f>Table35121314243[[#This Row],[Floor]]+Table35121314243[[#This Row],[Vault]]</f>
        <v>12.4</v>
      </c>
      <c r="AC14" s="283">
        <f t="shared" si="2"/>
        <v>21</v>
      </c>
    </row>
    <row r="15" spans="1:70">
      <c r="B15" s="94" t="s">
        <v>37</v>
      </c>
      <c r="D15" s="25"/>
      <c r="E15" s="26"/>
      <c r="F15" s="1"/>
      <c r="H15" s="94" t="s">
        <v>37</v>
      </c>
      <c r="J15" s="25"/>
      <c r="K15" s="26"/>
      <c r="L15" s="1"/>
      <c r="M15" s="1"/>
      <c r="N15" s="110"/>
      <c r="O15" s="73"/>
      <c r="P15" s="73"/>
      <c r="Q15" s="115"/>
      <c r="R15" s="1"/>
      <c r="U15" s="33" t="s">
        <v>454</v>
      </c>
      <c r="V15" s="149">
        <v>153</v>
      </c>
      <c r="W15" s="42" t="s">
        <v>1070</v>
      </c>
      <c r="X15" s="17">
        <f t="shared" si="5"/>
        <v>5</v>
      </c>
      <c r="Y15" s="283">
        <f t="shared" si="0"/>
        <v>18</v>
      </c>
      <c r="Z15" s="17">
        <f t="shared" si="6"/>
        <v>7.5</v>
      </c>
      <c r="AA15" s="283">
        <f t="shared" si="1"/>
        <v>6</v>
      </c>
      <c r="AB15" s="211">
        <f>Table35121314243[[#This Row],[Floor]]+Table35121314243[[#This Row],[Vault]]</f>
        <v>12.5</v>
      </c>
      <c r="AC15" s="283">
        <f t="shared" si="2"/>
        <v>20</v>
      </c>
    </row>
    <row r="16" spans="1:70">
      <c r="N16" s="121"/>
      <c r="O16" s="1"/>
      <c r="P16" s="104"/>
      <c r="U16" s="33" t="s">
        <v>87</v>
      </c>
      <c r="V16" s="149">
        <v>156</v>
      </c>
      <c r="W16" s="42" t="s">
        <v>1139</v>
      </c>
      <c r="X16" s="14">
        <f>I8</f>
        <v>8.1999999999999993</v>
      </c>
      <c r="Y16" s="283">
        <f t="shared" si="0"/>
        <v>11</v>
      </c>
      <c r="Z16" s="14">
        <f>J8</f>
        <v>6.3</v>
      </c>
      <c r="AA16" s="283">
        <f t="shared" si="1"/>
        <v>14.999999999999998</v>
      </c>
      <c r="AB16" s="211">
        <f>Table35121314243[[#This Row],[Floor]]+Table35121314243[[#This Row],[Vault]]</f>
        <v>14.5</v>
      </c>
      <c r="AC16" s="283">
        <f t="shared" si="2"/>
        <v>18</v>
      </c>
    </row>
    <row r="17" spans="1:29">
      <c r="A17" s="274" t="s">
        <v>1299</v>
      </c>
      <c r="B17" s="173"/>
      <c r="C17" s="173"/>
      <c r="D17" s="173"/>
      <c r="E17" s="174"/>
      <c r="F17" s="106"/>
      <c r="G17" s="274" t="s">
        <v>1304</v>
      </c>
      <c r="H17" s="220"/>
      <c r="I17" s="220"/>
      <c r="J17" s="220"/>
      <c r="K17" s="221"/>
      <c r="L17" s="106"/>
      <c r="M17" s="171" t="s">
        <v>1305</v>
      </c>
      <c r="N17" s="251"/>
      <c r="O17" s="251"/>
      <c r="P17" s="251"/>
      <c r="Q17" s="275"/>
      <c r="R17" s="118"/>
      <c r="U17" s="33" t="s">
        <v>87</v>
      </c>
      <c r="V17" s="149">
        <v>157</v>
      </c>
      <c r="W17" s="142" t="s">
        <v>1140</v>
      </c>
      <c r="X17" s="14">
        <f t="shared" ref="X17:X19" si="7">I9</f>
        <v>8.15</v>
      </c>
      <c r="Y17" s="283">
        <f t="shared" si="0"/>
        <v>12</v>
      </c>
      <c r="Z17" s="14">
        <f t="shared" ref="Z17" si="8">J9</f>
        <v>7.45</v>
      </c>
      <c r="AA17" s="283">
        <f t="shared" si="1"/>
        <v>6.9999999999999991</v>
      </c>
      <c r="AB17" s="211">
        <f>Table35121314243[[#This Row],[Floor]]+Table35121314243[[#This Row],[Vault]]</f>
        <v>15.600000000000001</v>
      </c>
      <c r="AC17" s="283">
        <f t="shared" si="2"/>
        <v>12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1"/>
      <c r="G18" s="9" t="s">
        <v>1</v>
      </c>
      <c r="H18" s="9" t="s">
        <v>2</v>
      </c>
      <c r="I18" s="9" t="s">
        <v>3</v>
      </c>
      <c r="J18" s="9" t="s">
        <v>4</v>
      </c>
      <c r="K18" s="9" t="s">
        <v>5</v>
      </c>
      <c r="L18" s="1"/>
      <c r="M18" s="9" t="s">
        <v>1</v>
      </c>
      <c r="N18" s="9" t="s">
        <v>2</v>
      </c>
      <c r="O18" s="9" t="s">
        <v>3</v>
      </c>
      <c r="P18" s="9" t="s">
        <v>4</v>
      </c>
      <c r="Q18" s="9" t="s">
        <v>5</v>
      </c>
      <c r="U18" s="33" t="s">
        <v>87</v>
      </c>
      <c r="V18" s="149">
        <v>158</v>
      </c>
      <c r="W18" s="42" t="s">
        <v>1141</v>
      </c>
      <c r="X18" s="14">
        <f t="shared" si="7"/>
        <v>8.65</v>
      </c>
      <c r="Y18" s="283">
        <f t="shared" si="0"/>
        <v>6</v>
      </c>
      <c r="Z18" s="14">
        <f>J10</f>
        <v>7.35</v>
      </c>
      <c r="AA18" s="283">
        <f t="shared" si="1"/>
        <v>9</v>
      </c>
      <c r="AB18" s="211">
        <f>Table35121314243[[#This Row],[Floor]]+Table35121314243[[#This Row],[Vault]]</f>
        <v>16</v>
      </c>
      <c r="AC18" s="283">
        <f t="shared" si="2"/>
        <v>8</v>
      </c>
    </row>
    <row r="19" spans="1:29">
      <c r="A19" s="149">
        <v>162</v>
      </c>
      <c r="B19" s="100" t="s">
        <v>685</v>
      </c>
      <c r="C19" s="13">
        <v>7.7</v>
      </c>
      <c r="D19" s="13">
        <v>7.5</v>
      </c>
      <c r="E19" s="13">
        <f t="shared" ref="E19" si="9">SUM(C19,D19)</f>
        <v>15.2</v>
      </c>
      <c r="F19" s="1"/>
      <c r="G19" s="149">
        <v>163</v>
      </c>
      <c r="H19" s="93" t="s">
        <v>159</v>
      </c>
      <c r="I19" s="13">
        <v>9</v>
      </c>
      <c r="J19" s="13">
        <v>7.8</v>
      </c>
      <c r="K19" s="13">
        <f>SUM(I19,J19)</f>
        <v>16.8</v>
      </c>
      <c r="L19" s="189">
        <f>SUM(C19:E19)</f>
        <v>30.4</v>
      </c>
      <c r="M19" s="149">
        <v>164</v>
      </c>
      <c r="N19" s="100" t="s">
        <v>373</v>
      </c>
      <c r="O19" s="13">
        <v>8.0500000000000007</v>
      </c>
      <c r="P19" s="13">
        <v>7.45</v>
      </c>
      <c r="Q19" s="13">
        <f>SUM(O19,P19)</f>
        <v>15.5</v>
      </c>
      <c r="U19" s="33" t="s">
        <v>87</v>
      </c>
      <c r="V19" s="149">
        <v>159</v>
      </c>
      <c r="W19" s="142" t="s">
        <v>1142</v>
      </c>
      <c r="X19" s="14">
        <f t="shared" si="7"/>
        <v>8.5</v>
      </c>
      <c r="Y19" s="283">
        <f t="shared" si="0"/>
        <v>8</v>
      </c>
      <c r="Z19" s="14">
        <f>J11</f>
        <v>8.5</v>
      </c>
      <c r="AA19" s="283">
        <f t="shared" si="1"/>
        <v>1</v>
      </c>
      <c r="AB19" s="211">
        <f>Table35121314243[[#This Row],[Floor]]+Table35121314243[[#This Row],[Vault]]</f>
        <v>17</v>
      </c>
      <c r="AC19" s="283">
        <f t="shared" si="2"/>
        <v>2</v>
      </c>
    </row>
    <row r="20" spans="1:29" ht="15" customHeight="1">
      <c r="A20" s="152"/>
      <c r="B20" s="110"/>
      <c r="C20" s="73"/>
      <c r="D20" s="73"/>
      <c r="E20" s="73"/>
      <c r="F20" s="1"/>
      <c r="L20" s="1"/>
      <c r="M20" s="149">
        <v>165</v>
      </c>
      <c r="N20" s="100" t="s">
        <v>944</v>
      </c>
      <c r="O20" s="13">
        <v>7.55</v>
      </c>
      <c r="P20" s="13">
        <v>7.55</v>
      </c>
      <c r="Q20" s="13">
        <f>SUM(O20,P20)</f>
        <v>15.1</v>
      </c>
      <c r="U20" s="287" t="s">
        <v>135</v>
      </c>
      <c r="V20" s="293">
        <v>265</v>
      </c>
      <c r="W20" s="289" t="s">
        <v>40</v>
      </c>
      <c r="X20" s="295">
        <f>'BEG 11&amp;U MX'!D8</f>
        <v>9.15</v>
      </c>
      <c r="Y20" s="283">
        <f t="shared" si="0"/>
        <v>2</v>
      </c>
      <c r="Z20" s="295">
        <f>'BEG 11&amp;U MX'!E8</f>
        <v>8.1</v>
      </c>
      <c r="AA20" s="283">
        <f t="shared" si="1"/>
        <v>2</v>
      </c>
      <c r="AB20" s="297">
        <f>Table35121314243[[#This Row],[Floor]]+Table35121314243[[#This Row],[Vault]]</f>
        <v>17.25</v>
      </c>
      <c r="AC20" s="283">
        <f t="shared" si="2"/>
        <v>1</v>
      </c>
    </row>
    <row r="21" spans="1:29">
      <c r="A21" s="228" t="s">
        <v>1298</v>
      </c>
      <c r="B21" s="166"/>
      <c r="C21" s="167"/>
      <c r="D21" s="167"/>
      <c r="E21" s="61"/>
      <c r="F21" s="1"/>
      <c r="L21" s="1"/>
      <c r="M21" s="152"/>
      <c r="Q21" s="73"/>
      <c r="R21" s="41"/>
      <c r="S21" s="41"/>
      <c r="T21" s="41"/>
      <c r="U21" s="287" t="s">
        <v>135</v>
      </c>
      <c r="V21" s="293">
        <v>266</v>
      </c>
      <c r="W21" s="289" t="s">
        <v>256</v>
      </c>
      <c r="X21" s="295">
        <f>'BEG 11&amp;U MX'!D9</f>
        <v>8.9</v>
      </c>
      <c r="Y21" s="283">
        <f t="shared" si="0"/>
        <v>4</v>
      </c>
      <c r="Z21" s="295">
        <f>'BEG 11&amp;U MX'!E9</f>
        <v>7.45</v>
      </c>
      <c r="AA21" s="283">
        <f t="shared" si="1"/>
        <v>6.9999999999999991</v>
      </c>
      <c r="AB21" s="297">
        <f>Table35121314243[[#This Row],[Floor]]+Table35121314243[[#This Row],[Vault]]</f>
        <v>16.350000000000001</v>
      </c>
      <c r="AC21" s="283">
        <f t="shared" si="2"/>
        <v>5</v>
      </c>
    </row>
    <row r="22" spans="1:29">
      <c r="A22" s="145" t="s">
        <v>1</v>
      </c>
      <c r="B22" s="145" t="s">
        <v>2</v>
      </c>
      <c r="C22" s="145" t="s">
        <v>3</v>
      </c>
      <c r="D22" s="145" t="s">
        <v>4</v>
      </c>
      <c r="E22" s="145" t="s">
        <v>5</v>
      </c>
      <c r="F22" s="1"/>
      <c r="L22" s="1"/>
      <c r="R22" s="41"/>
      <c r="S22" s="41"/>
      <c r="T22" s="41"/>
      <c r="U22" s="287" t="s">
        <v>135</v>
      </c>
      <c r="V22" s="294">
        <v>267</v>
      </c>
      <c r="W22" s="292" t="s">
        <v>144</v>
      </c>
      <c r="X22" s="295">
        <f>'BEG 11&amp;U MX'!D10</f>
        <v>8.85</v>
      </c>
      <c r="Y22" s="283">
        <f t="shared" si="0"/>
        <v>5</v>
      </c>
      <c r="Z22" s="295">
        <f>'BEG 11&amp;U MX'!E10</f>
        <v>7</v>
      </c>
      <c r="AA22" s="283">
        <f t="shared" si="1"/>
        <v>13.000000000000002</v>
      </c>
      <c r="AB22" s="298">
        <f>Table35121314243[[#This Row],[Floor]]+Table35121314243[[#This Row],[Vault]]</f>
        <v>15.85</v>
      </c>
      <c r="AC22" s="283">
        <f t="shared" si="2"/>
        <v>10</v>
      </c>
    </row>
    <row r="23" spans="1:29">
      <c r="A23" s="396">
        <v>166</v>
      </c>
      <c r="B23" s="438" t="s">
        <v>1009</v>
      </c>
      <c r="C23" s="398">
        <v>0</v>
      </c>
      <c r="D23" s="398">
        <v>0</v>
      </c>
      <c r="E23" s="398">
        <f>SUM(C23,D23)</f>
        <v>0</v>
      </c>
      <c r="L23" s="1"/>
      <c r="R23" s="41"/>
      <c r="S23" s="41"/>
      <c r="T23" s="41"/>
      <c r="U23" s="287" t="s">
        <v>706</v>
      </c>
      <c r="V23" s="293">
        <v>271</v>
      </c>
      <c r="W23" s="289" t="s">
        <v>297</v>
      </c>
      <c r="X23" s="295">
        <f>'BEG 11&amp;U MX'!O8</f>
        <v>9.35</v>
      </c>
      <c r="Y23" s="283">
        <f t="shared" si="0"/>
        <v>1</v>
      </c>
      <c r="Z23" s="295">
        <f>'BEG 11&amp;U MX'!P8</f>
        <v>7.6</v>
      </c>
      <c r="AA23" s="283">
        <f t="shared" si="1"/>
        <v>4</v>
      </c>
      <c r="AB23" s="297">
        <f>Table35121314243[[#This Row],[Floor]]+Table35121314243[[#This Row],[Vault]]</f>
        <v>16.95</v>
      </c>
      <c r="AC23" s="283">
        <f t="shared" si="2"/>
        <v>3</v>
      </c>
    </row>
    <row r="24" spans="1:29">
      <c r="L24" s="106"/>
      <c r="R24" s="41"/>
      <c r="S24" s="41"/>
      <c r="T24" s="41"/>
      <c r="U24" s="287" t="s">
        <v>706</v>
      </c>
      <c r="V24" s="294">
        <v>272</v>
      </c>
      <c r="W24" s="292" t="s">
        <v>724</v>
      </c>
      <c r="X24" s="295">
        <f>'BEG 11&amp;U MX'!O9</f>
        <v>8.9</v>
      </c>
      <c r="Y24" s="283">
        <f t="shared" si="0"/>
        <v>4</v>
      </c>
      <c r="Z24" s="295">
        <f>'BEG 11&amp;U MX'!P9</f>
        <v>7.3</v>
      </c>
      <c r="AA24" s="283">
        <f t="shared" si="1"/>
        <v>10.000000000000002</v>
      </c>
      <c r="AB24" s="298">
        <f>Table35121314243[[#This Row],[Floor]]+Table35121314243[[#This Row],[Vault]]</f>
        <v>16.2</v>
      </c>
      <c r="AC24" s="283">
        <f t="shared" si="2"/>
        <v>6</v>
      </c>
    </row>
    <row r="25" spans="1:29">
      <c r="U25" s="287" t="s">
        <v>306</v>
      </c>
      <c r="V25" s="293">
        <v>277</v>
      </c>
      <c r="W25" s="289" t="s">
        <v>775</v>
      </c>
      <c r="X25" s="295">
        <f>'BEG 11&amp;U MX'!D19</f>
        <v>7.7</v>
      </c>
      <c r="Y25" s="283">
        <f t="shared" si="0"/>
        <v>15</v>
      </c>
      <c r="Z25" s="295">
        <f>'BEG 11&amp;U MX'!E19</f>
        <v>7.1</v>
      </c>
      <c r="AA25" s="283">
        <f t="shared" si="1"/>
        <v>12.000000000000002</v>
      </c>
      <c r="AB25" s="297">
        <f>Table35121314243[[#This Row],[Floor]]+Table35121314243[[#This Row],[Vault]]</f>
        <v>14.8</v>
      </c>
      <c r="AC25" s="283">
        <f t="shared" si="2"/>
        <v>16</v>
      </c>
    </row>
    <row r="26" spans="1:29">
      <c r="H26" s="1"/>
      <c r="I26" s="1"/>
      <c r="J26" s="1"/>
      <c r="U26" s="287" t="s">
        <v>306</v>
      </c>
      <c r="V26" s="294">
        <v>278</v>
      </c>
      <c r="W26" s="292" t="s">
        <v>776</v>
      </c>
      <c r="X26" s="295">
        <f>'BEG 11&amp;U MX'!D20</f>
        <v>7.35</v>
      </c>
      <c r="Y26" s="283">
        <f t="shared" si="0"/>
        <v>17</v>
      </c>
      <c r="Z26" s="295">
        <f>'BEG 11&amp;U MX'!E20</f>
        <v>7.2</v>
      </c>
      <c r="AA26" s="283">
        <f t="shared" si="1"/>
        <v>11.000000000000002</v>
      </c>
      <c r="AB26" s="298">
        <f>Table35121314243[[#This Row],[Floor]]+Table35121314243[[#This Row],[Vault]]</f>
        <v>14.55</v>
      </c>
      <c r="AC26" s="283">
        <f t="shared" si="2"/>
        <v>17</v>
      </c>
    </row>
    <row r="27" spans="1:29">
      <c r="A27" s="102"/>
      <c r="B27" s="103"/>
      <c r="C27" s="73"/>
      <c r="D27" s="73"/>
      <c r="E27" s="68"/>
      <c r="G27" s="1"/>
      <c r="H27" s="103"/>
      <c r="I27" s="73"/>
      <c r="J27" s="73"/>
      <c r="K27" s="1"/>
      <c r="U27" s="287" t="s">
        <v>854</v>
      </c>
      <c r="V27" s="293">
        <v>283</v>
      </c>
      <c r="W27" s="289" t="s">
        <v>851</v>
      </c>
      <c r="X27" s="295">
        <f>'BEG 11&amp;U MX'!O19</f>
        <v>7.9</v>
      </c>
      <c r="Y27" s="283">
        <f t="shared" si="0"/>
        <v>14</v>
      </c>
      <c r="Z27" s="295">
        <f>'BEG 11&amp;U MX'!P19</f>
        <v>7.3</v>
      </c>
      <c r="AA27" s="283">
        <f t="shared" si="1"/>
        <v>10.000000000000002</v>
      </c>
      <c r="AB27" s="297">
        <f>Table35121314243[[#This Row],[Floor]]+Table35121314243[[#This Row],[Vault]]</f>
        <v>15.2</v>
      </c>
      <c r="AC27" s="283">
        <f t="shared" si="2"/>
        <v>14</v>
      </c>
    </row>
    <row r="28" spans="1:29">
      <c r="A28" s="1"/>
      <c r="B28" s="104"/>
      <c r="C28" s="64"/>
      <c r="D28" s="64"/>
      <c r="E28" s="105"/>
      <c r="G28" s="102"/>
      <c r="H28" s="103"/>
      <c r="I28" s="73"/>
      <c r="J28" s="73"/>
      <c r="K28" s="73"/>
      <c r="U28" s="290" t="s">
        <v>854</v>
      </c>
      <c r="V28" s="294">
        <v>284</v>
      </c>
      <c r="W28" s="292" t="s">
        <v>852</v>
      </c>
      <c r="X28" s="295">
        <f>'BEG 11&amp;U MX'!O20</f>
        <v>8.35</v>
      </c>
      <c r="Y28" s="283">
        <f t="shared" si="0"/>
        <v>10</v>
      </c>
      <c r="Z28" s="295">
        <f>'BEG 11&amp;U MX'!P20</f>
        <v>7.35</v>
      </c>
      <c r="AA28" s="283">
        <f t="shared" si="1"/>
        <v>9</v>
      </c>
      <c r="AB28" s="298">
        <f>Table35121314243[[#This Row],[Floor]]+Table35121314243[[#This Row],[Vault]]</f>
        <v>15.7</v>
      </c>
      <c r="AC28" s="283">
        <f t="shared" si="2"/>
        <v>11</v>
      </c>
    </row>
    <row r="29" spans="1:29">
      <c r="G29" s="102"/>
      <c r="H29" s="103"/>
      <c r="I29" s="73"/>
      <c r="J29" s="73"/>
      <c r="K29" s="73"/>
      <c r="U29" s="287" t="s">
        <v>1352</v>
      </c>
      <c r="V29" s="293">
        <v>289</v>
      </c>
      <c r="W29" s="289" t="s">
        <v>891</v>
      </c>
      <c r="X29" s="295">
        <f>'BEG 11&amp;U MX'!Z19</f>
        <v>8.5500000000000007</v>
      </c>
      <c r="Y29" s="283">
        <f t="shared" si="0"/>
        <v>7</v>
      </c>
      <c r="Z29" s="295">
        <f>'BEG 11&amp;U MX'!AA19</f>
        <v>6</v>
      </c>
      <c r="AA29" s="283">
        <f t="shared" si="1"/>
        <v>16</v>
      </c>
      <c r="AB29" s="297">
        <f>Table35121314243[[#This Row],[Floor]]+Table35121314243[[#This Row],[Vault]]</f>
        <v>14.55</v>
      </c>
      <c r="AC29" s="283">
        <f t="shared" si="2"/>
        <v>17</v>
      </c>
    </row>
    <row r="30" spans="1:29">
      <c r="G30" s="102"/>
      <c r="H30" s="103"/>
      <c r="I30" s="73"/>
      <c r="J30" s="73"/>
      <c r="K30" s="73"/>
      <c r="U30" s="290" t="s">
        <v>1352</v>
      </c>
      <c r="V30" s="294">
        <v>290</v>
      </c>
      <c r="W30" s="292" t="s">
        <v>892</v>
      </c>
      <c r="X30" s="295">
        <f>'BEG 11&amp;U MX'!Z20</f>
        <v>8.35</v>
      </c>
      <c r="Y30" s="283">
        <f t="shared" si="0"/>
        <v>10</v>
      </c>
      <c r="Z30" s="295">
        <f>'BEG 11&amp;U MX'!AA20</f>
        <v>7.8</v>
      </c>
      <c r="AA30" s="283">
        <f t="shared" si="1"/>
        <v>3</v>
      </c>
      <c r="AB30" s="298">
        <f>Table35121314243[[#This Row],[Floor]]+Table35121314243[[#This Row],[Vault]]</f>
        <v>16.149999999999999</v>
      </c>
      <c r="AC30" s="283">
        <f t="shared" si="2"/>
        <v>7</v>
      </c>
    </row>
    <row r="31" spans="1:29">
      <c r="G31" s="102"/>
      <c r="H31" s="104"/>
      <c r="I31" s="64"/>
      <c r="J31" s="64"/>
      <c r="K31" s="68"/>
      <c r="U31" s="290" t="s">
        <v>1352</v>
      </c>
      <c r="V31" s="294">
        <v>291</v>
      </c>
      <c r="W31" s="292" t="s">
        <v>371</v>
      </c>
      <c r="X31" s="295">
        <f>'BEG 11&amp;U MX'!Z21</f>
        <v>8.4499999999999993</v>
      </c>
      <c r="Y31" s="283">
        <f t="shared" si="0"/>
        <v>9</v>
      </c>
      <c r="Z31" s="295">
        <f>'BEG 11&amp;U MX'!AA21</f>
        <v>7.5</v>
      </c>
      <c r="AA31" s="283">
        <f t="shared" si="1"/>
        <v>6</v>
      </c>
      <c r="AB31" s="298">
        <f>Table35121314243[[#This Row],[Floor]]+Table35121314243[[#This Row],[Vault]]</f>
        <v>15.95</v>
      </c>
      <c r="AC31" s="283">
        <f t="shared" si="2"/>
        <v>9</v>
      </c>
    </row>
    <row r="32" spans="1:29">
      <c r="G32" s="1"/>
      <c r="K32" s="105"/>
    </row>
  </sheetData>
  <mergeCells count="3">
    <mergeCell ref="A1:AC1"/>
    <mergeCell ref="A2:AC2"/>
    <mergeCell ref="G4:J4"/>
  </mergeCells>
  <phoneticPr fontId="21" type="noConversion"/>
  <conditionalFormatting sqref="Y7:Y31">
    <cfRule type="cellIs" dxfId="1027" priority="10" operator="equal">
      <formula>3</formula>
    </cfRule>
    <cfRule type="cellIs" dxfId="1026" priority="11" operator="equal">
      <formula>2</formula>
    </cfRule>
    <cfRule type="cellIs" dxfId="1025" priority="12" operator="equal">
      <formula>1</formula>
    </cfRule>
  </conditionalFormatting>
  <conditionalFormatting sqref="AA7:AA31">
    <cfRule type="cellIs" dxfId="1024" priority="7" operator="equal">
      <formula>3</formula>
    </cfRule>
    <cfRule type="cellIs" dxfId="1023" priority="8" operator="equal">
      <formula>2</formula>
    </cfRule>
    <cfRule type="cellIs" dxfId="1022" priority="9" operator="equal">
      <formula>1</formula>
    </cfRule>
  </conditionalFormatting>
  <conditionalFormatting sqref="AC7:AC31">
    <cfRule type="cellIs" dxfId="1021" priority="4" operator="equal">
      <formula>3</formula>
    </cfRule>
    <cfRule type="cellIs" dxfId="1020" priority="5" operator="equal">
      <formula>2</formula>
    </cfRule>
    <cfRule type="cellIs" dxfId="1019" priority="6" operator="equal">
      <formula>1</formula>
    </cfRule>
  </conditionalFormatting>
  <conditionalFormatting sqref="P7:P8">
    <cfRule type="cellIs" dxfId="1018" priority="1" operator="equal">
      <formula>3</formula>
    </cfRule>
    <cfRule type="cellIs" dxfId="1017" priority="2" operator="equal">
      <formula>2</formula>
    </cfRule>
    <cfRule type="cellIs" dxfId="1016" priority="3" operator="equal">
      <formula>1</formula>
    </cfRule>
  </conditionalFormatting>
  <pageMargins left="0.75" right="0.75" top="1" bottom="1" header="0.5" footer="0.5"/>
  <pageSetup paperSize="9" scale="54" orientation="landscape" horizontalDpi="4294967292" verticalDpi="4294967292"/>
  <colBreaks count="1" manualBreakCount="1">
    <brk id="29" max="1048575" man="1"/>
  </colBreaks>
  <ignoredErrors>
    <ignoredError sqref="Z7:Z31" formula="1"/>
  </ignoredErrors>
  <tableParts count="2">
    <tablePart r:id="rId1"/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24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4.875" customWidth="1"/>
    <col min="2" max="2" width="17.5" bestFit="1" customWidth="1"/>
    <col min="3" max="4" width="7.5" bestFit="1" customWidth="1"/>
    <col min="5" max="5" width="7.375" bestFit="1" customWidth="1"/>
    <col min="6" max="6" width="0.5" customWidth="1"/>
    <col min="7" max="7" width="5.125" bestFit="1" customWidth="1"/>
    <col min="8" max="8" width="18.375" customWidth="1"/>
    <col min="9" max="10" width="7.5" bestFit="1" customWidth="1"/>
    <col min="11" max="11" width="7.375" bestFit="1" customWidth="1"/>
    <col min="12" max="12" width="0.5" customWidth="1"/>
    <col min="13" max="13" width="5.125" bestFit="1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625" customWidth="1"/>
    <col min="22" max="22" width="6.375" customWidth="1"/>
    <col min="23" max="23" width="16.625" bestFit="1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70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0"/>
      <c r="BJ2" s="90"/>
    </row>
    <row r="3" spans="1:70" ht="28.5" customHeight="1">
      <c r="A3" s="8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A4" s="8"/>
      <c r="E4" s="1"/>
      <c r="F4" s="1"/>
      <c r="G4" s="461" t="s">
        <v>679</v>
      </c>
      <c r="H4" s="474"/>
      <c r="I4" s="474"/>
      <c r="J4" s="475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6" spans="1:70" s="8" customFormat="1">
      <c r="A6" s="146" t="s">
        <v>1299</v>
      </c>
      <c r="B6" s="146"/>
      <c r="C6" s="146"/>
      <c r="D6" s="146"/>
      <c r="E6" s="146"/>
      <c r="G6" s="348" t="s">
        <v>1370</v>
      </c>
      <c r="H6" s="349"/>
      <c r="I6" s="349"/>
      <c r="J6" s="349"/>
      <c r="K6" s="350"/>
      <c r="L6" s="106"/>
      <c r="M6" s="333" t="s">
        <v>1332</v>
      </c>
      <c r="N6" s="220"/>
      <c r="O6" s="220"/>
      <c r="P6" s="220"/>
      <c r="Q6" s="221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268" t="s">
        <v>1</v>
      </c>
      <c r="H7" s="268" t="s">
        <v>2</v>
      </c>
      <c r="I7" s="268" t="s">
        <v>3</v>
      </c>
      <c r="J7" s="268" t="s">
        <v>4</v>
      </c>
      <c r="K7" s="268" t="s">
        <v>5</v>
      </c>
      <c r="L7" s="1"/>
      <c r="M7" s="145" t="s">
        <v>1</v>
      </c>
      <c r="N7" s="145" t="s">
        <v>2</v>
      </c>
      <c r="O7" s="145" t="s">
        <v>3</v>
      </c>
      <c r="P7" s="145" t="s">
        <v>4</v>
      </c>
      <c r="Q7" s="145" t="s">
        <v>5</v>
      </c>
      <c r="U7" s="33" t="s">
        <v>81</v>
      </c>
      <c r="V7" s="314">
        <v>1238</v>
      </c>
      <c r="W7" s="42" t="s">
        <v>106</v>
      </c>
      <c r="X7" s="13">
        <f>C8</f>
        <v>10.1</v>
      </c>
      <c r="Y7" s="283">
        <f>SUMPRODUCT((X$7:X$9&gt;X7)/COUNTIF(X$7:X$9,X$7:X$9&amp;""))+1</f>
        <v>1</v>
      </c>
      <c r="Z7" s="13">
        <f>D8</f>
        <v>9.5</v>
      </c>
      <c r="AA7" s="283">
        <f>SUMPRODUCT((Z$7:Z$9&gt;Z7)/COUNTIF(Z$7:Z$9,Z$7:Z$9&amp;""))+1</f>
        <v>1</v>
      </c>
      <c r="AB7" s="315">
        <f>Table351213142439111622256343[[#This Row],[Floor]]+Table351213142439111622256343[[#This Row],[Vault]]</f>
        <v>19.600000000000001</v>
      </c>
      <c r="AC7" s="283">
        <f>SUMPRODUCT((AB$7:AB$9&gt;AB7)/COUNTIF(AB$7:AB$9,AB$7:AB$9&amp;""))+1</f>
        <v>1</v>
      </c>
    </row>
    <row r="8" spans="1:70">
      <c r="A8" s="151">
        <v>1238</v>
      </c>
      <c r="B8" s="42" t="s">
        <v>106</v>
      </c>
      <c r="C8" s="13">
        <v>10.1</v>
      </c>
      <c r="D8" s="13">
        <v>9.5</v>
      </c>
      <c r="E8" s="13">
        <f>SUM(C8,D8)</f>
        <v>19.600000000000001</v>
      </c>
      <c r="G8" s="151">
        <v>1239</v>
      </c>
      <c r="H8" s="42" t="s">
        <v>711</v>
      </c>
      <c r="I8" s="13">
        <v>9</v>
      </c>
      <c r="J8" s="13">
        <v>9.35</v>
      </c>
      <c r="K8" s="13">
        <f>SUM(I8,J8)</f>
        <v>18.350000000000001</v>
      </c>
      <c r="L8" s="1"/>
      <c r="M8" s="151">
        <v>1240</v>
      </c>
      <c r="N8" s="99" t="s">
        <v>317</v>
      </c>
      <c r="O8" s="13">
        <v>9</v>
      </c>
      <c r="P8" s="13">
        <v>8.9</v>
      </c>
      <c r="Q8" s="13">
        <f>SUM(O8,P8)</f>
        <v>17.899999999999999</v>
      </c>
      <c r="U8" s="33" t="s">
        <v>706</v>
      </c>
      <c r="V8" s="314">
        <v>1239</v>
      </c>
      <c r="W8" s="42" t="s">
        <v>711</v>
      </c>
      <c r="X8" s="14">
        <f>I8</f>
        <v>9</v>
      </c>
      <c r="Y8" s="283">
        <f t="shared" ref="Y8:Y9" si="0">SUMPRODUCT((X$7:X$9&gt;X8)/COUNTIF(X$7:X$9,X$7:X$9&amp;""))+1</f>
        <v>2</v>
      </c>
      <c r="Z8" s="14">
        <f>J8</f>
        <v>9.35</v>
      </c>
      <c r="AA8" s="283">
        <f t="shared" ref="AA8:AA9" si="1">SUMPRODUCT((Z$7:Z$9&gt;Z8)/COUNTIF(Z$7:Z$9,Z$7:Z$9&amp;""))+1</f>
        <v>2</v>
      </c>
      <c r="AB8" s="315">
        <f>Table351213142439111622256343[[#This Row],[Floor]]+Table351213142439111622256343[[#This Row],[Vault]]</f>
        <v>18.350000000000001</v>
      </c>
      <c r="AC8" s="283">
        <f t="shared" ref="AC8:AC9" si="2">SUMPRODUCT((AB$7:AB$9&gt;AB8)/COUNTIF(AB$7:AB$9,AB$7:AB$9&amp;""))+1</f>
        <v>2</v>
      </c>
    </row>
    <row r="9" spans="1:70">
      <c r="A9" s="152"/>
      <c r="B9" s="110"/>
      <c r="C9" s="73"/>
      <c r="D9" s="73"/>
      <c r="E9" s="73"/>
      <c r="G9" s="153"/>
      <c r="H9" s="1"/>
      <c r="I9" s="73"/>
      <c r="J9" s="73"/>
      <c r="K9" s="73"/>
      <c r="L9" s="1"/>
      <c r="U9" s="33" t="s">
        <v>306</v>
      </c>
      <c r="V9" s="314">
        <v>1240</v>
      </c>
      <c r="W9" s="99" t="s">
        <v>317</v>
      </c>
      <c r="X9" s="13">
        <f>O8</f>
        <v>9</v>
      </c>
      <c r="Y9" s="283">
        <f t="shared" si="0"/>
        <v>2</v>
      </c>
      <c r="Z9" s="13">
        <f>P8</f>
        <v>8.9</v>
      </c>
      <c r="AA9" s="283">
        <f t="shared" si="1"/>
        <v>3</v>
      </c>
      <c r="AB9" s="315">
        <f>Table351213142439111622256343[[#This Row],[Floor]]+Table351213142439111622256343[[#This Row],[Vault]]</f>
        <v>17.899999999999999</v>
      </c>
      <c r="AC9" s="283">
        <f t="shared" si="2"/>
        <v>3</v>
      </c>
    </row>
    <row r="10" spans="1:70">
      <c r="A10" s="152"/>
      <c r="B10" s="110"/>
      <c r="C10" s="73"/>
      <c r="D10" s="73"/>
      <c r="E10" s="73"/>
      <c r="L10" s="1"/>
      <c r="AA10"/>
      <c r="AB10"/>
      <c r="AC10"/>
    </row>
    <row r="11" spans="1:70">
      <c r="A11" s="152"/>
      <c r="B11" s="110"/>
      <c r="C11" s="73"/>
      <c r="D11" s="73"/>
      <c r="E11" s="73"/>
      <c r="L11" s="1"/>
      <c r="M11" s="102"/>
      <c r="N11" s="103"/>
      <c r="O11" s="73"/>
      <c r="P11" s="73"/>
      <c r="Q11" s="73"/>
      <c r="AA11"/>
      <c r="AB11"/>
      <c r="AC11"/>
    </row>
    <row r="12" spans="1:70">
      <c r="A12" s="152"/>
      <c r="B12" s="110"/>
      <c r="C12" s="73"/>
      <c r="D12" s="73"/>
      <c r="E12" s="73"/>
      <c r="L12" s="1"/>
      <c r="M12" s="102"/>
      <c r="N12" s="103"/>
      <c r="O12" s="73"/>
      <c r="P12" s="73"/>
      <c r="Q12" s="73"/>
      <c r="AA12"/>
      <c r="AB12"/>
      <c r="AC12"/>
    </row>
    <row r="13" spans="1:70">
      <c r="A13" s="152"/>
      <c r="B13" s="110"/>
      <c r="C13" s="73"/>
      <c r="D13" s="73"/>
      <c r="E13" s="73"/>
      <c r="F13" s="8"/>
      <c r="L13" s="106"/>
      <c r="M13" s="102"/>
      <c r="N13" s="103"/>
      <c r="O13" s="73"/>
      <c r="P13" s="73"/>
      <c r="Q13" s="68"/>
      <c r="AA13"/>
      <c r="AB13"/>
      <c r="AC13"/>
    </row>
    <row r="14" spans="1:70">
      <c r="A14" s="1"/>
      <c r="B14" s="104"/>
      <c r="C14" s="64"/>
      <c r="D14" s="64"/>
      <c r="E14" s="105"/>
      <c r="F14" s="8"/>
      <c r="L14" s="106"/>
      <c r="M14" s="1"/>
      <c r="N14" s="104"/>
      <c r="O14" s="64"/>
      <c r="P14" s="64"/>
      <c r="Q14" s="105"/>
      <c r="AA14"/>
      <c r="AB14"/>
      <c r="AC14"/>
    </row>
    <row r="15" spans="1:70">
      <c r="A15" s="1"/>
      <c r="B15" s="121"/>
      <c r="C15" s="1"/>
      <c r="D15" s="104"/>
      <c r="E15" s="115"/>
      <c r="L15" s="1"/>
      <c r="M15" s="1"/>
      <c r="N15" s="114"/>
      <c r="O15" s="1"/>
      <c r="P15" s="104"/>
      <c r="Q15" s="115"/>
      <c r="AA15"/>
      <c r="AB15"/>
      <c r="AC15"/>
    </row>
    <row r="16" spans="1:70">
      <c r="AA16"/>
      <c r="AB16"/>
      <c r="AC16"/>
    </row>
    <row r="18" spans="2:20">
      <c r="N18" s="45"/>
      <c r="O18" s="46"/>
      <c r="P18" s="40"/>
    </row>
    <row r="19" spans="2:20">
      <c r="N19" s="45"/>
      <c r="O19" s="46"/>
      <c r="P19" s="40"/>
    </row>
    <row r="20" spans="2:20">
      <c r="N20" s="45"/>
      <c r="O20" s="46"/>
      <c r="P20" s="40"/>
      <c r="Q20" s="41"/>
      <c r="R20" s="41"/>
      <c r="S20" s="41"/>
      <c r="T20" s="41"/>
    </row>
    <row r="21" spans="2:20">
      <c r="N21" s="45"/>
      <c r="O21" s="46"/>
      <c r="P21" s="40"/>
      <c r="Q21" s="41"/>
      <c r="R21" s="41"/>
      <c r="S21" s="41"/>
      <c r="T21" s="41"/>
    </row>
    <row r="22" spans="2:20">
      <c r="Q22" s="41"/>
      <c r="R22" s="41"/>
      <c r="S22" s="41"/>
      <c r="T22" s="41"/>
    </row>
    <row r="23" spans="2:20">
      <c r="B23" s="24"/>
      <c r="D23" s="25"/>
      <c r="E23" s="26"/>
      <c r="Q23" s="41"/>
      <c r="R23" s="41"/>
      <c r="S23" s="41"/>
      <c r="T23" s="41"/>
    </row>
    <row r="24" spans="2:20">
      <c r="Q24" s="41"/>
      <c r="R24" s="41"/>
      <c r="S24" s="41"/>
      <c r="T24" s="41"/>
    </row>
  </sheetData>
  <mergeCells count="3">
    <mergeCell ref="A1:AC1"/>
    <mergeCell ref="A2:AC2"/>
    <mergeCell ref="G4:J4"/>
  </mergeCells>
  <phoneticPr fontId="21" type="noConversion"/>
  <conditionalFormatting sqref="Y7:Y9">
    <cfRule type="cellIs" dxfId="326" priority="7" operator="equal">
      <formula>3</formula>
    </cfRule>
    <cfRule type="cellIs" dxfId="325" priority="8" operator="equal">
      <formula>2</formula>
    </cfRule>
    <cfRule type="cellIs" dxfId="324" priority="9" operator="equal">
      <formula>1</formula>
    </cfRule>
  </conditionalFormatting>
  <conditionalFormatting sqref="AA7:AA9">
    <cfRule type="cellIs" dxfId="323" priority="4" operator="equal">
      <formula>3</formula>
    </cfRule>
    <cfRule type="cellIs" dxfId="322" priority="5" operator="equal">
      <formula>2</formula>
    </cfRule>
    <cfRule type="cellIs" dxfId="321" priority="6" operator="equal">
      <formula>1</formula>
    </cfRule>
  </conditionalFormatting>
  <conditionalFormatting sqref="AC7:AC9">
    <cfRule type="cellIs" dxfId="320" priority="1" operator="equal">
      <formula>3</formula>
    </cfRule>
    <cfRule type="cellIs" dxfId="319" priority="2" operator="equal">
      <formula>2</formula>
    </cfRule>
    <cfRule type="cellIs" dxfId="318" priority="3" operator="equal">
      <formula>1</formula>
    </cfRule>
  </conditionalFormatting>
  <pageMargins left="0.7" right="0.7" top="0.75" bottom="0.75" header="0.3" footer="0.3"/>
  <pageSetup paperSize="9" scale="56" orientation="landscape" horizontalDpi="4294967292" verticalDpi="4294967292"/>
  <colBreaks count="1" manualBreakCount="1">
    <brk id="29" max="1048575" man="1"/>
  </colBreaks>
  <ignoredErrors>
    <ignoredError sqref="Z7:Z9" formula="1"/>
  </ignoredErrors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J54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125" customWidth="1"/>
    <col min="2" max="2" width="19.125" bestFit="1" customWidth="1"/>
    <col min="3" max="4" width="7.5" bestFit="1" customWidth="1"/>
    <col min="5" max="5" width="7.375" bestFit="1" customWidth="1"/>
    <col min="6" max="6" width="0.5" customWidth="1"/>
    <col min="7" max="7" width="5.37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5.375" bestFit="1" customWidth="1"/>
    <col min="14" max="14" width="22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125" customWidth="1"/>
    <col min="22" max="22" width="6.125" customWidth="1"/>
    <col min="23" max="23" width="20.875" bestFit="1" customWidth="1"/>
    <col min="24" max="24" width="8.5" customWidth="1"/>
    <col min="25" max="25" width="5.5" style="53" customWidth="1"/>
    <col min="26" max="26" width="9.375" customWidth="1"/>
    <col min="27" max="27" width="5.125" style="57" customWidth="1"/>
    <col min="28" max="28" width="9.375" style="39" customWidth="1"/>
    <col min="29" max="29" width="5.5" style="60" customWidth="1"/>
  </cols>
  <sheetData>
    <row r="1" spans="1:62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62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0"/>
      <c r="BJ2" s="90"/>
    </row>
    <row r="3" spans="1:62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">
      <c r="A4" s="383"/>
      <c r="E4" s="1"/>
      <c r="F4" s="1"/>
      <c r="G4" s="464" t="s">
        <v>132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>
      <c r="M5" s="106"/>
      <c r="N5" s="106"/>
      <c r="O5" s="106"/>
      <c r="P5" s="106"/>
      <c r="Q5" s="106"/>
    </row>
    <row r="6" spans="1:62" s="8" customFormat="1">
      <c r="A6" s="333" t="s">
        <v>85</v>
      </c>
      <c r="B6" s="173"/>
      <c r="C6" s="173"/>
      <c r="D6" s="173"/>
      <c r="E6" s="174"/>
      <c r="G6" s="333" t="s">
        <v>52</v>
      </c>
      <c r="H6" s="125"/>
      <c r="I6" s="125"/>
      <c r="J6" s="125"/>
      <c r="K6" s="126"/>
      <c r="M6" s="333" t="s">
        <v>511</v>
      </c>
      <c r="N6" s="231"/>
      <c r="O6" s="231"/>
      <c r="P6" s="231"/>
      <c r="Q6" s="232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62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16" t="s">
        <v>626</v>
      </c>
      <c r="V7" s="151">
        <v>1233</v>
      </c>
      <c r="W7" s="99" t="s">
        <v>631</v>
      </c>
      <c r="X7" s="14">
        <f>C19</f>
        <v>9.6</v>
      </c>
      <c r="Y7" s="283">
        <f>SUMPRODUCT((X$7:X$26&gt;X7)/COUNTIF(X$7:X$26,X$7:X$26&amp;""))+1</f>
        <v>5</v>
      </c>
      <c r="Z7" s="14">
        <f>D19</f>
        <v>8.9499999999999993</v>
      </c>
      <c r="AA7" s="283">
        <f>SUMPRODUCT((Z$7:Z$26&gt;Z7)/COUNTIF(Z$7:Z$26,Z$7:Z$26&amp;""))+1</f>
        <v>4</v>
      </c>
      <c r="AB7" s="69">
        <f>Table35155057131829313347[[#This Row],[Floor4]]+Table35155057131829313347[[#This Row],[Vault6]]</f>
        <v>18.549999999999997</v>
      </c>
      <c r="AC7" s="283">
        <f>SUMPRODUCT((AB$7:AB$26&gt;AB7)/COUNTIF(AB$7:AB$26,AB$7:AB$26&amp;""))+1</f>
        <v>3</v>
      </c>
    </row>
    <row r="8" spans="1:62">
      <c r="A8" s="151">
        <v>1215</v>
      </c>
      <c r="B8" s="99" t="s">
        <v>710</v>
      </c>
      <c r="C8" s="13">
        <v>9.4</v>
      </c>
      <c r="D8" s="13">
        <v>9.15</v>
      </c>
      <c r="E8" s="13">
        <f>SUM(C8,D8)</f>
        <v>18.55</v>
      </c>
      <c r="G8" s="151">
        <v>1221</v>
      </c>
      <c r="H8" s="99" t="s">
        <v>95</v>
      </c>
      <c r="I8" s="13">
        <v>9.5</v>
      </c>
      <c r="J8" s="13">
        <v>8.25</v>
      </c>
      <c r="K8" s="13">
        <f>SUM(I8,J8)</f>
        <v>17.75</v>
      </c>
      <c r="M8" s="151">
        <v>1227</v>
      </c>
      <c r="N8" s="99" t="s">
        <v>516</v>
      </c>
      <c r="O8" s="13">
        <v>9.4</v>
      </c>
      <c r="P8" s="13">
        <v>8.6</v>
      </c>
      <c r="Q8" s="13">
        <f>SUM(O8,P8)</f>
        <v>18</v>
      </c>
      <c r="U8" s="16" t="s">
        <v>626</v>
      </c>
      <c r="V8" s="151">
        <v>1234</v>
      </c>
      <c r="W8" s="99" t="s">
        <v>632</v>
      </c>
      <c r="X8" s="14">
        <f>C20</f>
        <v>8.9</v>
      </c>
      <c r="Y8" s="283">
        <f t="shared" ref="Y8:Y26" si="0">SUMPRODUCT((X$7:X$26&gt;X8)/COUNTIF(X$7:X$26,X$7:X$26&amp;""))+1</f>
        <v>11</v>
      </c>
      <c r="Z8" s="14">
        <f>D20</f>
        <v>9.0500000000000007</v>
      </c>
      <c r="AA8" s="283">
        <f t="shared" ref="AA8:AA25" si="1">SUMPRODUCT((Z$7:Z$26&gt;Z8)/COUNTIF(Z$7:Z$26,Z$7:Z$26&amp;""))+1</f>
        <v>3</v>
      </c>
      <c r="AB8" s="69">
        <f>Table35155057131829313347[[#This Row],[Floor4]]+Table35155057131829313347[[#This Row],[Vault6]]</f>
        <v>17.950000000000003</v>
      </c>
      <c r="AC8" s="283">
        <f t="shared" ref="AC8:AC26" si="2">SUMPRODUCT((AB$7:AB$26&gt;AB8)/COUNTIF(AB$7:AB$26,AB$7:AB$26&amp;""))+1</f>
        <v>10</v>
      </c>
    </row>
    <row r="9" spans="1:62">
      <c r="A9" s="151">
        <v>1216</v>
      </c>
      <c r="B9" s="99" t="s">
        <v>153</v>
      </c>
      <c r="C9" s="13">
        <v>9.8000000000000007</v>
      </c>
      <c r="D9" s="13">
        <v>8</v>
      </c>
      <c r="E9" s="13">
        <f t="shared" ref="E9:E13" si="3">SUM(C9,D9)</f>
        <v>17.8</v>
      </c>
      <c r="G9" s="151">
        <v>1222</v>
      </c>
      <c r="H9" s="93" t="s">
        <v>188</v>
      </c>
      <c r="I9" s="13">
        <v>8.6999999999999993</v>
      </c>
      <c r="J9" s="13">
        <v>8.35</v>
      </c>
      <c r="K9" s="13">
        <f t="shared" ref="K9:K13" si="4">SUM(I9,J9)</f>
        <v>17.049999999999997</v>
      </c>
      <c r="M9" s="151">
        <v>1228</v>
      </c>
      <c r="N9" s="93" t="s">
        <v>519</v>
      </c>
      <c r="O9" s="13">
        <v>10.199999999999999</v>
      </c>
      <c r="P9" s="13">
        <v>8.9499999999999993</v>
      </c>
      <c r="Q9" s="13">
        <f t="shared" ref="Q9:Q13" si="5">SUM(O9,P9)</f>
        <v>19.149999999999999</v>
      </c>
      <c r="U9" s="16" t="s">
        <v>706</v>
      </c>
      <c r="V9" s="151">
        <v>1215</v>
      </c>
      <c r="W9" s="99" t="s">
        <v>710</v>
      </c>
      <c r="X9" s="14">
        <f>C8</f>
        <v>9.4</v>
      </c>
      <c r="Y9" s="283">
        <f t="shared" si="0"/>
        <v>7</v>
      </c>
      <c r="Z9" s="14">
        <f>D8</f>
        <v>9.15</v>
      </c>
      <c r="AA9" s="283">
        <f t="shared" si="1"/>
        <v>1</v>
      </c>
      <c r="AB9" s="69">
        <f>Table35155057131829313347[[#This Row],[Floor4]]+Table35155057131829313347[[#This Row],[Vault6]]</f>
        <v>18.55</v>
      </c>
      <c r="AC9" s="283">
        <f t="shared" si="2"/>
        <v>3</v>
      </c>
    </row>
    <row r="10" spans="1:62">
      <c r="A10" s="151">
        <v>1217</v>
      </c>
      <c r="B10" s="93" t="s">
        <v>36</v>
      </c>
      <c r="C10" s="13">
        <v>9</v>
      </c>
      <c r="D10" s="13">
        <v>8.4</v>
      </c>
      <c r="E10" s="13">
        <f t="shared" si="3"/>
        <v>17.399999999999999</v>
      </c>
      <c r="G10" s="151">
        <v>1223</v>
      </c>
      <c r="H10" s="93" t="s">
        <v>96</v>
      </c>
      <c r="I10" s="13">
        <v>8.6999999999999993</v>
      </c>
      <c r="J10" s="13">
        <v>8.3000000000000007</v>
      </c>
      <c r="K10" s="13">
        <f t="shared" si="4"/>
        <v>17</v>
      </c>
      <c r="M10" s="151">
        <v>1229</v>
      </c>
      <c r="N10" s="93" t="s">
        <v>515</v>
      </c>
      <c r="O10" s="13">
        <v>9.5</v>
      </c>
      <c r="P10" s="13">
        <v>8.6999999999999993</v>
      </c>
      <c r="Q10" s="13">
        <f t="shared" si="5"/>
        <v>18.2</v>
      </c>
      <c r="U10" s="16" t="s">
        <v>706</v>
      </c>
      <c r="V10" s="151">
        <v>1216</v>
      </c>
      <c r="W10" s="99" t="s">
        <v>153</v>
      </c>
      <c r="X10" s="14">
        <f t="shared" ref="X10:X11" si="6">C9</f>
        <v>9.8000000000000007</v>
      </c>
      <c r="Y10" s="283">
        <f t="shared" si="0"/>
        <v>3</v>
      </c>
      <c r="Z10" s="14">
        <f>D9</f>
        <v>8</v>
      </c>
      <c r="AA10" s="283">
        <f t="shared" si="1"/>
        <v>14</v>
      </c>
      <c r="AB10" s="69">
        <f>Table35155057131829313347[[#This Row],[Floor4]]+Table35155057131829313347[[#This Row],[Vault6]]</f>
        <v>17.8</v>
      </c>
      <c r="AC10" s="283">
        <f t="shared" si="2"/>
        <v>11</v>
      </c>
    </row>
    <row r="11" spans="1:62">
      <c r="A11" s="151">
        <v>1218</v>
      </c>
      <c r="B11" s="98"/>
      <c r="C11" s="13">
        <v>0</v>
      </c>
      <c r="D11" s="13">
        <v>0</v>
      </c>
      <c r="E11" s="13">
        <f t="shared" si="3"/>
        <v>0</v>
      </c>
      <c r="G11" s="151">
        <v>1224</v>
      </c>
      <c r="H11" s="93" t="s">
        <v>1211</v>
      </c>
      <c r="I11" s="13">
        <v>9.6</v>
      </c>
      <c r="J11" s="13">
        <v>8.75</v>
      </c>
      <c r="K11" s="13">
        <f t="shared" si="4"/>
        <v>18.350000000000001</v>
      </c>
      <c r="M11" s="151">
        <v>1230</v>
      </c>
      <c r="N11" s="93" t="s">
        <v>517</v>
      </c>
      <c r="O11" s="13">
        <v>9.5</v>
      </c>
      <c r="P11" s="13">
        <v>8.8000000000000007</v>
      </c>
      <c r="Q11" s="13">
        <f t="shared" si="5"/>
        <v>18.3</v>
      </c>
      <c r="U11" s="16" t="s">
        <v>706</v>
      </c>
      <c r="V11" s="151">
        <v>1217</v>
      </c>
      <c r="W11" s="93" t="s">
        <v>36</v>
      </c>
      <c r="X11" s="14">
        <f t="shared" si="6"/>
        <v>9</v>
      </c>
      <c r="Y11" s="283">
        <f t="shared" si="0"/>
        <v>10</v>
      </c>
      <c r="Z11" s="14">
        <f>D10</f>
        <v>8.4</v>
      </c>
      <c r="AA11" s="283">
        <f t="shared" si="1"/>
        <v>9</v>
      </c>
      <c r="AB11" s="69">
        <f>Table35155057131829313347[[#This Row],[Floor4]]+Table35155057131829313347[[#This Row],[Vault6]]</f>
        <v>17.399999999999999</v>
      </c>
      <c r="AC11" s="283">
        <f t="shared" si="2"/>
        <v>13</v>
      </c>
    </row>
    <row r="12" spans="1:62">
      <c r="A12" s="151">
        <v>1219</v>
      </c>
      <c r="B12" s="93" t="s">
        <v>60</v>
      </c>
      <c r="C12" s="13">
        <v>9.6999999999999993</v>
      </c>
      <c r="D12" s="13">
        <v>9.15</v>
      </c>
      <c r="E12" s="13">
        <f t="shared" si="3"/>
        <v>18.850000000000001</v>
      </c>
      <c r="G12" s="151">
        <v>1225</v>
      </c>
      <c r="H12" s="93" t="s">
        <v>1212</v>
      </c>
      <c r="I12" s="13">
        <v>9.4</v>
      </c>
      <c r="J12" s="13">
        <v>8.4</v>
      </c>
      <c r="K12" s="13">
        <f t="shared" si="4"/>
        <v>17.8</v>
      </c>
      <c r="M12" s="151">
        <v>1231</v>
      </c>
      <c r="N12" s="93" t="s">
        <v>518</v>
      </c>
      <c r="O12" s="13">
        <v>9.9</v>
      </c>
      <c r="P12" s="13">
        <v>8.9499999999999993</v>
      </c>
      <c r="Q12" s="13">
        <f t="shared" si="5"/>
        <v>18.850000000000001</v>
      </c>
      <c r="U12" s="16" t="s">
        <v>706</v>
      </c>
      <c r="V12" s="151">
        <v>1219</v>
      </c>
      <c r="W12" s="93" t="s">
        <v>60</v>
      </c>
      <c r="X12" s="14">
        <f>C12</f>
        <v>9.6999999999999993</v>
      </c>
      <c r="Y12" s="283">
        <f t="shared" si="0"/>
        <v>4</v>
      </c>
      <c r="Z12" s="14">
        <f>D12</f>
        <v>9.15</v>
      </c>
      <c r="AA12" s="283">
        <f t="shared" si="1"/>
        <v>1</v>
      </c>
      <c r="AB12" s="69">
        <f>Table35155057131829313347[[#This Row],[Floor4]]+Table35155057131829313347[[#This Row],[Vault6]]</f>
        <v>18.850000000000001</v>
      </c>
      <c r="AC12" s="283">
        <f t="shared" si="2"/>
        <v>2</v>
      </c>
    </row>
    <row r="13" spans="1:62" ht="16.5" thickBot="1">
      <c r="A13" s="151">
        <v>1220</v>
      </c>
      <c r="B13" s="98"/>
      <c r="C13" s="13">
        <v>0</v>
      </c>
      <c r="D13" s="13">
        <v>0</v>
      </c>
      <c r="E13" s="13">
        <f t="shared" si="3"/>
        <v>0</v>
      </c>
      <c r="F13" s="8"/>
      <c r="G13" s="151">
        <v>1226</v>
      </c>
      <c r="H13" s="93" t="s">
        <v>494</v>
      </c>
      <c r="I13" s="13">
        <v>9.4</v>
      </c>
      <c r="J13" s="13">
        <v>8.9499999999999993</v>
      </c>
      <c r="K13" s="13">
        <f t="shared" si="4"/>
        <v>18.350000000000001</v>
      </c>
      <c r="L13" s="8"/>
      <c r="M13" s="151">
        <v>1232</v>
      </c>
      <c r="N13" s="98"/>
      <c r="O13" s="13">
        <v>0</v>
      </c>
      <c r="P13" s="13">
        <v>0</v>
      </c>
      <c r="Q13" s="13">
        <f t="shared" si="5"/>
        <v>0</v>
      </c>
      <c r="U13" s="16" t="s">
        <v>306</v>
      </c>
      <c r="V13" s="151">
        <v>1235</v>
      </c>
      <c r="W13" s="99" t="s">
        <v>314</v>
      </c>
      <c r="X13" s="14">
        <f>I19</f>
        <v>9.3000000000000007</v>
      </c>
      <c r="Y13" s="283">
        <f t="shared" si="0"/>
        <v>8</v>
      </c>
      <c r="Z13" s="14">
        <f>J19</f>
        <v>9.1</v>
      </c>
      <c r="AA13" s="283">
        <f t="shared" si="1"/>
        <v>2</v>
      </c>
      <c r="AB13" s="69">
        <f>Table35155057131829313347[[#This Row],[Floor4]]+Table35155057131829313347[[#This Row],[Vault6]]</f>
        <v>18.399999999999999</v>
      </c>
      <c r="AC13" s="283">
        <f t="shared" si="2"/>
        <v>4</v>
      </c>
    </row>
    <row r="14" spans="1:62" ht="16.5" thickBot="1">
      <c r="B14" s="25" t="s">
        <v>10</v>
      </c>
      <c r="C14" s="19">
        <f>SUM(C8:C13)-SMALL(C8:C13,1)-SMALL(C8:C13,2)</f>
        <v>37.900000000000006</v>
      </c>
      <c r="D14" s="19">
        <f>SUM(D8:D13)-SMALL(D8:D13,1)-SMALL(D8:D13,2)</f>
        <v>34.699999999999996</v>
      </c>
      <c r="E14" s="20">
        <f>SUM(C14:D14)</f>
        <v>72.599999999999994</v>
      </c>
      <c r="F14" s="8"/>
      <c r="H14" s="25" t="s">
        <v>10</v>
      </c>
      <c r="I14" s="19">
        <f>SUM(I8:I13)-SMALL(I8:I13,1)-SMALL(I8:I13,2)</f>
        <v>37.899999999999991</v>
      </c>
      <c r="J14" s="19">
        <f>SUM(J8:J13)-SMALL(J8:J13,1)-SMALL(J8:J13,2)</f>
        <v>34.450000000000003</v>
      </c>
      <c r="K14" s="20">
        <f>SUM(I14:J14)</f>
        <v>72.349999999999994</v>
      </c>
      <c r="L14" s="8"/>
      <c r="N14" s="25" t="s">
        <v>10</v>
      </c>
      <c r="O14" s="19">
        <f>SUM(O8:O13)-SMALL(O8:O13,1)-SMALL(O8:O13,2)</f>
        <v>39.1</v>
      </c>
      <c r="P14" s="19">
        <f>SUM(P8:P13)-SMALL(P8:P13,1)-SMALL(P8:P13,2)</f>
        <v>35.4</v>
      </c>
      <c r="Q14" s="20">
        <f>SUM(O14:P14)</f>
        <v>74.5</v>
      </c>
      <c r="U14" s="16" t="s">
        <v>1193</v>
      </c>
      <c r="V14" s="151">
        <v>1236</v>
      </c>
      <c r="W14" s="99" t="s">
        <v>485</v>
      </c>
      <c r="X14" s="14">
        <f>C24</f>
        <v>9.9</v>
      </c>
      <c r="Y14" s="283">
        <f t="shared" si="0"/>
        <v>2</v>
      </c>
      <c r="Z14" s="14">
        <f>D24</f>
        <v>8.1999999999999993</v>
      </c>
      <c r="AA14" s="283">
        <f t="shared" si="1"/>
        <v>13</v>
      </c>
      <c r="AB14" s="69">
        <f>Table35155057131829313347[[#This Row],[Floor4]]+Table35155057131829313347[[#This Row],[Vault6]]</f>
        <v>18.100000000000001</v>
      </c>
      <c r="AC14" s="283">
        <f t="shared" si="2"/>
        <v>8</v>
      </c>
    </row>
    <row r="15" spans="1:62">
      <c r="B15" s="24" t="s">
        <v>37</v>
      </c>
      <c r="D15" s="25"/>
      <c r="E15" s="26"/>
      <c r="H15" s="24" t="s">
        <v>37</v>
      </c>
      <c r="J15" s="25"/>
      <c r="K15" s="26"/>
      <c r="N15" s="24" t="s">
        <v>37</v>
      </c>
      <c r="P15" s="25"/>
      <c r="Q15" s="26"/>
      <c r="U15" s="16" t="s">
        <v>1193</v>
      </c>
      <c r="V15" s="151">
        <v>1237</v>
      </c>
      <c r="W15" s="99" t="s">
        <v>70</v>
      </c>
      <c r="X15" s="14">
        <f>C25</f>
        <v>9.1</v>
      </c>
      <c r="Y15" s="283">
        <f t="shared" si="0"/>
        <v>9</v>
      </c>
      <c r="Z15" s="14">
        <f>D25</f>
        <v>8.3000000000000007</v>
      </c>
      <c r="AA15" s="283">
        <f t="shared" si="1"/>
        <v>11</v>
      </c>
      <c r="AB15" s="69">
        <f>Table35155057131829313347[[#This Row],[Floor4]]+Table35155057131829313347[[#This Row],[Vault6]]</f>
        <v>17.399999999999999</v>
      </c>
      <c r="AC15" s="283">
        <f t="shared" si="2"/>
        <v>13</v>
      </c>
    </row>
    <row r="16" spans="1:62">
      <c r="U16" s="16" t="s">
        <v>1204</v>
      </c>
      <c r="V16" s="151">
        <v>1221</v>
      </c>
      <c r="W16" s="99" t="s">
        <v>95</v>
      </c>
      <c r="X16" s="14">
        <f>I8</f>
        <v>9.5</v>
      </c>
      <c r="Y16" s="283">
        <f t="shared" si="0"/>
        <v>6</v>
      </c>
      <c r="Z16" s="14">
        <f>J8</f>
        <v>8.25</v>
      </c>
      <c r="AA16" s="283">
        <f t="shared" si="1"/>
        <v>12</v>
      </c>
      <c r="AB16" s="69">
        <f>Table35155057131829313347[[#This Row],[Floor4]]+Table35155057131829313347[[#This Row],[Vault6]]</f>
        <v>17.75</v>
      </c>
      <c r="AC16" s="283">
        <f t="shared" si="2"/>
        <v>12</v>
      </c>
    </row>
    <row r="17" spans="1:29">
      <c r="A17" s="333" t="s">
        <v>1334</v>
      </c>
      <c r="B17" s="173"/>
      <c r="C17" s="173"/>
      <c r="D17" s="173"/>
      <c r="E17" s="174"/>
      <c r="F17" s="106"/>
      <c r="G17" s="333" t="s">
        <v>1332</v>
      </c>
      <c r="H17" s="220"/>
      <c r="I17" s="220"/>
      <c r="J17" s="220"/>
      <c r="K17" s="221"/>
      <c r="L17" s="106"/>
      <c r="M17" s="127"/>
      <c r="N17" s="39" t="s">
        <v>12</v>
      </c>
      <c r="O17" s="43" t="s">
        <v>5</v>
      </c>
      <c r="P17" s="44" t="s">
        <v>11</v>
      </c>
      <c r="Q17" s="127"/>
      <c r="U17" s="16" t="s">
        <v>1204</v>
      </c>
      <c r="V17" s="151">
        <v>1222</v>
      </c>
      <c r="W17" s="93" t="s">
        <v>188</v>
      </c>
      <c r="X17" s="14">
        <f t="shared" ref="X17:X21" si="7">I9</f>
        <v>8.6999999999999993</v>
      </c>
      <c r="Y17" s="283">
        <f t="shared" si="0"/>
        <v>12</v>
      </c>
      <c r="Z17" s="14">
        <f t="shared" ref="Z17:Z19" si="8">J9</f>
        <v>8.35</v>
      </c>
      <c r="AA17" s="283">
        <f t="shared" si="1"/>
        <v>10</v>
      </c>
      <c r="AB17" s="69">
        <f>Table35155057131829313347[[#This Row],[Floor4]]+Table35155057131829313347[[#This Row],[Vault6]]</f>
        <v>17.049999999999997</v>
      </c>
      <c r="AC17" s="283">
        <f t="shared" si="2"/>
        <v>14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106"/>
      <c r="G18" s="145" t="s">
        <v>1</v>
      </c>
      <c r="H18" s="145" t="s">
        <v>2</v>
      </c>
      <c r="I18" s="145" t="s">
        <v>3</v>
      </c>
      <c r="J18" s="145" t="s">
        <v>4</v>
      </c>
      <c r="K18" s="145" t="s">
        <v>5</v>
      </c>
      <c r="L18" s="1"/>
      <c r="M18" s="111"/>
      <c r="N18" s="45" t="s">
        <v>550</v>
      </c>
      <c r="O18" s="47">
        <f>E14</f>
        <v>72.599999999999994</v>
      </c>
      <c r="P18" s="40">
        <f>SUMPRODUCT((O$18:O$20&gt;O18)/COUNTIF(O$18:O$20,O$18:O$20&amp;""))+1</f>
        <v>2</v>
      </c>
      <c r="Q18" s="111"/>
      <c r="U18" s="16" t="s">
        <v>1204</v>
      </c>
      <c r="V18" s="151">
        <v>1223</v>
      </c>
      <c r="W18" s="93" t="s">
        <v>96</v>
      </c>
      <c r="X18" s="14">
        <f>I10</f>
        <v>8.6999999999999993</v>
      </c>
      <c r="Y18" s="283">
        <f t="shared" si="0"/>
        <v>12</v>
      </c>
      <c r="Z18" s="14">
        <f t="shared" si="8"/>
        <v>8.3000000000000007</v>
      </c>
      <c r="AA18" s="283">
        <f t="shared" si="1"/>
        <v>11</v>
      </c>
      <c r="AB18" s="69">
        <f>Table35155057131829313347[[#This Row],[Floor4]]+Table35155057131829313347[[#This Row],[Vault6]]</f>
        <v>17</v>
      </c>
      <c r="AC18" s="283">
        <f t="shared" si="2"/>
        <v>15</v>
      </c>
    </row>
    <row r="19" spans="1:29">
      <c r="A19" s="151">
        <v>1233</v>
      </c>
      <c r="B19" s="99" t="s">
        <v>631</v>
      </c>
      <c r="C19" s="13">
        <v>9.6</v>
      </c>
      <c r="D19" s="13">
        <v>8.9499999999999993</v>
      </c>
      <c r="E19" s="13">
        <f>SUM(C19,D19)</f>
        <v>18.549999999999997</v>
      </c>
      <c r="F19" s="106"/>
      <c r="G19" s="151">
        <v>1235</v>
      </c>
      <c r="H19" s="99" t="s">
        <v>314</v>
      </c>
      <c r="I19" s="13">
        <v>9.3000000000000007</v>
      </c>
      <c r="J19" s="13">
        <v>9.1</v>
      </c>
      <c r="K19" s="13">
        <f>SUM(I19,J19)</f>
        <v>18.399999999999999</v>
      </c>
      <c r="L19" s="1"/>
      <c r="M19" s="102"/>
      <c r="N19" s="45" t="s">
        <v>33</v>
      </c>
      <c r="O19" s="47">
        <f>K14</f>
        <v>72.349999999999994</v>
      </c>
      <c r="P19" s="40">
        <f t="shared" ref="P19:P20" si="9">SUMPRODUCT((O$18:O$20&gt;O19)/COUNTIF(O$18:O$20,O$18:O$20&amp;""))+1</f>
        <v>3</v>
      </c>
      <c r="Q19" s="73"/>
      <c r="U19" s="16" t="s">
        <v>1204</v>
      </c>
      <c r="V19" s="151">
        <v>1224</v>
      </c>
      <c r="W19" s="93" t="s">
        <v>1211</v>
      </c>
      <c r="X19" s="14">
        <f>I11</f>
        <v>9.6</v>
      </c>
      <c r="Y19" s="283">
        <f t="shared" si="0"/>
        <v>5</v>
      </c>
      <c r="Z19" s="14">
        <f t="shared" si="8"/>
        <v>8.75</v>
      </c>
      <c r="AA19" s="283">
        <f t="shared" si="1"/>
        <v>6</v>
      </c>
      <c r="AB19" s="69">
        <f>Table35155057131829313347[[#This Row],[Floor4]]+Table35155057131829313347[[#This Row],[Vault6]]</f>
        <v>18.350000000000001</v>
      </c>
      <c r="AC19" s="283">
        <f t="shared" si="2"/>
        <v>5</v>
      </c>
    </row>
    <row r="20" spans="1:29">
      <c r="A20" s="151">
        <v>1234</v>
      </c>
      <c r="B20" s="99" t="s">
        <v>632</v>
      </c>
      <c r="C20" s="13">
        <v>8.9</v>
      </c>
      <c r="D20" s="13">
        <v>9.0500000000000007</v>
      </c>
      <c r="E20" s="13">
        <f t="shared" ref="E20" si="10">SUM(C20,D20)</f>
        <v>17.950000000000003</v>
      </c>
      <c r="F20" s="106"/>
      <c r="L20" s="1"/>
      <c r="M20" s="102"/>
      <c r="N20" s="45" t="s">
        <v>218</v>
      </c>
      <c r="O20" s="73">
        <f>Q14</f>
        <v>74.5</v>
      </c>
      <c r="P20" s="40">
        <f t="shared" si="9"/>
        <v>1</v>
      </c>
      <c r="Q20" s="73"/>
      <c r="U20" s="16" t="s">
        <v>1204</v>
      </c>
      <c r="V20" s="151">
        <v>1225</v>
      </c>
      <c r="W20" s="93" t="s">
        <v>1212</v>
      </c>
      <c r="X20" s="14">
        <f>I12</f>
        <v>9.4</v>
      </c>
      <c r="Y20" s="283">
        <f t="shared" si="0"/>
        <v>7</v>
      </c>
      <c r="Z20" s="14">
        <f>J12</f>
        <v>8.4</v>
      </c>
      <c r="AA20" s="283">
        <f t="shared" si="1"/>
        <v>9</v>
      </c>
      <c r="AB20" s="69">
        <f>Table35155057131829313347[[#This Row],[Floor4]]+Table35155057131829313347[[#This Row],[Vault6]]</f>
        <v>17.8</v>
      </c>
      <c r="AC20" s="283">
        <f t="shared" si="2"/>
        <v>11</v>
      </c>
    </row>
    <row r="21" spans="1:29">
      <c r="A21" s="102"/>
      <c r="B21" s="103"/>
      <c r="C21" s="73"/>
      <c r="D21" s="73"/>
      <c r="E21" s="73"/>
      <c r="F21" s="1"/>
      <c r="L21" s="1"/>
      <c r="M21" s="102"/>
      <c r="U21" s="16" t="s">
        <v>1204</v>
      </c>
      <c r="V21" s="151">
        <v>1226</v>
      </c>
      <c r="W21" s="93" t="s">
        <v>494</v>
      </c>
      <c r="X21" s="14">
        <f t="shared" si="7"/>
        <v>9.4</v>
      </c>
      <c r="Y21" s="283">
        <f t="shared" si="0"/>
        <v>7</v>
      </c>
      <c r="Z21" s="14">
        <f>J13</f>
        <v>8.9499999999999993</v>
      </c>
      <c r="AA21" s="283">
        <f t="shared" si="1"/>
        <v>4</v>
      </c>
      <c r="AB21" s="69">
        <f>Table35155057131829313347[[#This Row],[Floor4]]+Table35155057131829313347[[#This Row],[Vault6]]</f>
        <v>18.350000000000001</v>
      </c>
      <c r="AC21" s="283">
        <f t="shared" si="2"/>
        <v>5</v>
      </c>
    </row>
    <row r="22" spans="1:29">
      <c r="A22" s="333" t="s">
        <v>1333</v>
      </c>
      <c r="B22" s="231"/>
      <c r="C22" s="231"/>
      <c r="D22" s="231"/>
      <c r="E22" s="232"/>
      <c r="L22" s="1"/>
      <c r="M22" s="102"/>
      <c r="U22" s="16" t="s">
        <v>1227</v>
      </c>
      <c r="V22" s="151">
        <v>1227</v>
      </c>
      <c r="W22" s="241" t="s">
        <v>516</v>
      </c>
      <c r="X22" s="14">
        <f>O8</f>
        <v>9.4</v>
      </c>
      <c r="Y22" s="283">
        <f t="shared" si="0"/>
        <v>7</v>
      </c>
      <c r="Z22" s="14">
        <f>P8</f>
        <v>8.6</v>
      </c>
      <c r="AA22" s="283">
        <f t="shared" si="1"/>
        <v>8</v>
      </c>
      <c r="AB22" s="69">
        <f>Table35155057131829313347[[#This Row],[Floor4]]+Table35155057131829313347[[#This Row],[Vault6]]</f>
        <v>18</v>
      </c>
      <c r="AC22" s="283">
        <f t="shared" si="2"/>
        <v>9</v>
      </c>
    </row>
    <row r="23" spans="1:29">
      <c r="A23" s="9" t="s">
        <v>1</v>
      </c>
      <c r="B23" s="9" t="s">
        <v>2</v>
      </c>
      <c r="C23" s="9" t="s">
        <v>3</v>
      </c>
      <c r="D23" s="9" t="s">
        <v>4</v>
      </c>
      <c r="E23" s="9" t="s">
        <v>5</v>
      </c>
      <c r="L23" s="1"/>
      <c r="M23" s="102"/>
      <c r="U23" s="16" t="s">
        <v>1227</v>
      </c>
      <c r="V23" s="151">
        <v>1228</v>
      </c>
      <c r="W23" s="101" t="s">
        <v>519</v>
      </c>
      <c r="X23" s="14">
        <f t="shared" ref="X23:X26" si="11">O9</f>
        <v>10.199999999999999</v>
      </c>
      <c r="Y23" s="283">
        <f t="shared" si="0"/>
        <v>1</v>
      </c>
      <c r="Z23" s="14">
        <f t="shared" ref="Z23:Z26" si="12">P9</f>
        <v>8.9499999999999993</v>
      </c>
      <c r="AA23" s="283">
        <f t="shared" si="1"/>
        <v>4</v>
      </c>
      <c r="AB23" s="69">
        <f>Table35155057131829313347[[#This Row],[Floor4]]+Table35155057131829313347[[#This Row],[Vault6]]</f>
        <v>19.149999999999999</v>
      </c>
      <c r="AC23" s="283">
        <f t="shared" si="2"/>
        <v>1</v>
      </c>
    </row>
    <row r="24" spans="1:29">
      <c r="A24" s="151">
        <v>1236</v>
      </c>
      <c r="B24" s="99" t="s">
        <v>485</v>
      </c>
      <c r="C24" s="13">
        <v>9.9</v>
      </c>
      <c r="D24" s="13">
        <v>8.1999999999999993</v>
      </c>
      <c r="E24" s="13">
        <f>SUM(C24,D24)</f>
        <v>18.100000000000001</v>
      </c>
      <c r="L24" s="106"/>
      <c r="M24" s="102"/>
      <c r="U24" s="16" t="s">
        <v>1227</v>
      </c>
      <c r="V24" s="151">
        <v>1229</v>
      </c>
      <c r="W24" s="101" t="s">
        <v>515</v>
      </c>
      <c r="X24" s="14">
        <f t="shared" si="11"/>
        <v>9.5</v>
      </c>
      <c r="Y24" s="283">
        <f t="shared" si="0"/>
        <v>6</v>
      </c>
      <c r="Z24" s="14">
        <f>P10</f>
        <v>8.6999999999999993</v>
      </c>
      <c r="AA24" s="283">
        <f t="shared" si="1"/>
        <v>7</v>
      </c>
      <c r="AB24" s="69">
        <f>Table35155057131829313347[[#This Row],[Floor4]]+Table35155057131829313347[[#This Row],[Vault6]]</f>
        <v>18.2</v>
      </c>
      <c r="AC24" s="283">
        <f t="shared" si="2"/>
        <v>7</v>
      </c>
    </row>
    <row r="25" spans="1:29">
      <c r="A25" s="151">
        <v>1237</v>
      </c>
      <c r="B25" s="99" t="s">
        <v>70</v>
      </c>
      <c r="C25" s="13">
        <v>9.1</v>
      </c>
      <c r="D25" s="13">
        <v>8.3000000000000007</v>
      </c>
      <c r="E25" s="13">
        <f t="shared" ref="E25" si="13">SUM(C25,D25)</f>
        <v>17.399999999999999</v>
      </c>
      <c r="L25" s="106"/>
      <c r="M25" s="1"/>
      <c r="N25" s="24"/>
      <c r="P25" s="25"/>
      <c r="Q25" s="105"/>
      <c r="U25" s="16" t="s">
        <v>1227</v>
      </c>
      <c r="V25" s="151">
        <v>1230</v>
      </c>
      <c r="W25" s="101" t="s">
        <v>517</v>
      </c>
      <c r="X25" s="14">
        <f>O11</f>
        <v>9.5</v>
      </c>
      <c r="Y25" s="283">
        <f t="shared" si="0"/>
        <v>6</v>
      </c>
      <c r="Z25" s="14">
        <f>P11</f>
        <v>8.8000000000000007</v>
      </c>
      <c r="AA25" s="283">
        <f t="shared" si="1"/>
        <v>5</v>
      </c>
      <c r="AB25" s="69">
        <f>Table35155057131829313347[[#This Row],[Floor4]]+Table35155057131829313347[[#This Row],[Vault6]]</f>
        <v>18.3</v>
      </c>
      <c r="AC25" s="283">
        <f t="shared" si="2"/>
        <v>6</v>
      </c>
    </row>
    <row r="26" spans="1:29">
      <c r="A26" s="1"/>
      <c r="B26" s="114"/>
      <c r="C26" s="1"/>
      <c r="D26" s="104"/>
      <c r="E26" s="115"/>
      <c r="F26" s="1"/>
      <c r="N26" s="24"/>
      <c r="P26" s="25"/>
      <c r="Q26" s="26"/>
      <c r="U26" s="16" t="s">
        <v>1227</v>
      </c>
      <c r="V26" s="151">
        <v>1231</v>
      </c>
      <c r="W26" s="109" t="s">
        <v>518</v>
      </c>
      <c r="X26" s="14">
        <f t="shared" si="11"/>
        <v>9.9</v>
      </c>
      <c r="Y26" s="283">
        <f t="shared" si="0"/>
        <v>2</v>
      </c>
      <c r="Z26" s="14">
        <f t="shared" si="12"/>
        <v>8.9499999999999993</v>
      </c>
      <c r="AA26" s="283">
        <f>SUMPRODUCT((Z$7:Z$26&gt;Z26)/COUNTIF(Z$7:Z$26,Z$7:Z$26&amp;""))+1</f>
        <v>4</v>
      </c>
      <c r="AB26" s="69">
        <f>Table35155057131829313347[[#This Row],[Floor4]]+Table35155057131829313347[[#This Row],[Vault6]]</f>
        <v>18.850000000000001</v>
      </c>
      <c r="AC26" s="283">
        <f t="shared" si="2"/>
        <v>2</v>
      </c>
    </row>
    <row r="27" spans="1:29">
      <c r="A27" s="1"/>
      <c r="B27" s="114"/>
      <c r="C27" s="1"/>
      <c r="D27" s="104"/>
      <c r="E27" s="115"/>
      <c r="H27" s="24"/>
      <c r="J27" s="25"/>
      <c r="K27" s="26"/>
      <c r="Q27" s="26"/>
      <c r="Y27"/>
      <c r="AA27"/>
      <c r="AB27"/>
      <c r="AC27"/>
    </row>
    <row r="28" spans="1:29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Y28"/>
      <c r="AA28"/>
      <c r="AB28"/>
      <c r="AC28"/>
    </row>
    <row r="29" spans="1:29">
      <c r="A29" s="75"/>
      <c r="B29" s="75"/>
      <c r="C29" s="75"/>
      <c r="D29" s="75"/>
      <c r="E29" s="75"/>
      <c r="F29" s="81"/>
      <c r="G29" s="127"/>
      <c r="H29" s="127"/>
      <c r="I29" s="127"/>
      <c r="J29" s="127"/>
      <c r="K29" s="127"/>
      <c r="L29" s="127"/>
      <c r="Y29"/>
      <c r="AA29"/>
      <c r="AB29"/>
      <c r="AC29"/>
    </row>
    <row r="30" spans="1:29">
      <c r="A30" s="76"/>
      <c r="B30" s="76"/>
      <c r="C30" s="76"/>
      <c r="D30" s="76"/>
      <c r="E30" s="76"/>
      <c r="F30" s="81"/>
      <c r="G30" s="77"/>
      <c r="H30" s="77"/>
      <c r="I30" s="77"/>
      <c r="J30" s="77"/>
      <c r="K30" s="77"/>
      <c r="L30" s="81"/>
      <c r="Y30"/>
      <c r="AA30"/>
      <c r="AB30"/>
      <c r="AC30"/>
    </row>
    <row r="31" spans="1:29">
      <c r="A31" s="78"/>
      <c r="B31" s="87"/>
      <c r="C31" s="79"/>
      <c r="D31" s="79"/>
      <c r="E31" s="79"/>
      <c r="F31" s="81"/>
      <c r="G31" s="80"/>
      <c r="H31" s="87"/>
      <c r="I31" s="68"/>
      <c r="J31" s="68"/>
      <c r="K31" s="68"/>
      <c r="L31" s="81"/>
      <c r="Y31"/>
      <c r="AA31"/>
      <c r="AB31"/>
      <c r="AC31"/>
    </row>
    <row r="32" spans="1:29">
      <c r="A32" s="78"/>
      <c r="B32" s="87"/>
      <c r="C32" s="79"/>
      <c r="D32" s="79"/>
      <c r="E32" s="79"/>
      <c r="F32" s="81"/>
      <c r="G32" s="80"/>
      <c r="H32" s="87"/>
      <c r="I32" s="68"/>
      <c r="J32" s="68"/>
      <c r="K32" s="68"/>
      <c r="L32" s="81"/>
      <c r="Y32"/>
      <c r="AA32"/>
      <c r="AB32"/>
      <c r="AC32"/>
    </row>
    <row r="33" spans="1:29">
      <c r="A33" s="78"/>
      <c r="B33" s="87"/>
      <c r="C33" s="79"/>
      <c r="D33" s="79"/>
      <c r="E33" s="79"/>
      <c r="F33" s="81"/>
      <c r="G33" s="81"/>
      <c r="H33" s="81"/>
      <c r="I33" s="81"/>
      <c r="J33" s="81"/>
      <c r="K33" s="81"/>
      <c r="L33" s="81"/>
      <c r="Y33"/>
      <c r="AA33"/>
      <c r="AB33"/>
      <c r="AC33"/>
    </row>
    <row r="34" spans="1:29">
      <c r="A34" s="78"/>
      <c r="B34" s="87"/>
      <c r="C34" s="79"/>
      <c r="D34" s="79"/>
      <c r="E34" s="79"/>
      <c r="F34" s="81"/>
      <c r="G34" s="127"/>
      <c r="H34" s="127"/>
      <c r="I34" s="127"/>
      <c r="J34" s="127"/>
      <c r="K34" s="127"/>
      <c r="L34" s="127"/>
      <c r="Y34"/>
      <c r="AA34"/>
      <c r="AB34"/>
      <c r="AC34"/>
    </row>
    <row r="35" spans="1:29">
      <c r="A35" s="78"/>
      <c r="B35" s="87"/>
      <c r="C35" s="79"/>
      <c r="D35" s="79"/>
      <c r="E35" s="79"/>
      <c r="F35" s="81"/>
      <c r="G35" s="77"/>
      <c r="H35" s="77"/>
      <c r="I35" s="77"/>
      <c r="J35" s="77"/>
      <c r="K35" s="77"/>
      <c r="L35" s="81"/>
      <c r="N35" s="65"/>
      <c r="O35" s="66"/>
      <c r="P35" s="67"/>
      <c r="Y35"/>
      <c r="AA35"/>
      <c r="AB35"/>
      <c r="AC35"/>
    </row>
    <row r="36" spans="1:29">
      <c r="A36" s="78"/>
      <c r="B36" s="87"/>
      <c r="C36" s="79"/>
      <c r="D36" s="79"/>
      <c r="E36" s="79"/>
      <c r="F36" s="81"/>
      <c r="G36" s="80"/>
      <c r="H36" s="87"/>
      <c r="I36" s="68"/>
      <c r="J36" s="68"/>
      <c r="K36" s="68"/>
      <c r="L36" s="81"/>
      <c r="Y36"/>
      <c r="AA36"/>
      <c r="AB36"/>
      <c r="AC36"/>
    </row>
    <row r="37" spans="1:29">
      <c r="A37" s="88"/>
      <c r="B37" s="82"/>
      <c r="C37" s="79"/>
      <c r="D37" s="79"/>
      <c r="E37" s="83"/>
      <c r="F37" s="81"/>
      <c r="G37" s="80"/>
      <c r="H37" s="87"/>
      <c r="I37" s="68"/>
      <c r="J37" s="68"/>
      <c r="K37" s="68"/>
      <c r="L37" s="81"/>
      <c r="Y37"/>
      <c r="AA37"/>
      <c r="AB37"/>
      <c r="AC37"/>
    </row>
    <row r="38" spans="1:29">
      <c r="A38" s="81"/>
      <c r="B38" s="89"/>
      <c r="C38" s="81"/>
      <c r="D38" s="84"/>
      <c r="E38" s="85"/>
      <c r="F38" s="81"/>
      <c r="G38" s="81"/>
      <c r="H38" s="81"/>
      <c r="I38" s="81"/>
      <c r="J38" s="81"/>
      <c r="K38" s="81"/>
      <c r="L38" s="81"/>
      <c r="Y38"/>
      <c r="AA38"/>
      <c r="AB38"/>
      <c r="AC38"/>
    </row>
    <row r="39" spans="1:29">
      <c r="A39" s="75"/>
      <c r="B39" s="75"/>
      <c r="C39" s="75"/>
      <c r="D39" s="75"/>
      <c r="E39" s="75"/>
      <c r="F39" s="81"/>
      <c r="G39" s="127"/>
      <c r="H39" s="127"/>
      <c r="I39" s="127"/>
      <c r="J39" s="127"/>
      <c r="K39" s="127"/>
      <c r="L39" s="127"/>
      <c r="Y39"/>
      <c r="AA39"/>
      <c r="AB39"/>
      <c r="AC39"/>
    </row>
    <row r="40" spans="1:29">
      <c r="A40" s="76"/>
      <c r="B40" s="76"/>
      <c r="C40" s="76"/>
      <c r="D40" s="76"/>
      <c r="E40" s="76"/>
      <c r="F40" s="81"/>
      <c r="G40" s="77"/>
      <c r="H40" s="77"/>
      <c r="I40" s="77"/>
      <c r="J40" s="77"/>
      <c r="K40" s="77"/>
      <c r="L40" s="81"/>
      <c r="Y40"/>
      <c r="AA40"/>
      <c r="AB40"/>
      <c r="AC40"/>
    </row>
    <row r="41" spans="1:29">
      <c r="A41" s="78"/>
      <c r="B41" s="87"/>
      <c r="C41" s="79"/>
      <c r="D41" s="79"/>
      <c r="E41" s="79"/>
      <c r="F41" s="81"/>
      <c r="G41" s="80"/>
      <c r="H41" s="87"/>
      <c r="I41" s="68"/>
      <c r="J41" s="68"/>
      <c r="K41" s="68"/>
      <c r="L41" s="81"/>
      <c r="Y41"/>
      <c r="AA41"/>
      <c r="AB41"/>
      <c r="AC41"/>
    </row>
    <row r="42" spans="1:29">
      <c r="A42" s="78"/>
      <c r="B42" s="87"/>
      <c r="C42" s="79"/>
      <c r="D42" s="79"/>
      <c r="E42" s="79"/>
      <c r="F42" s="81"/>
      <c r="G42" s="81"/>
      <c r="H42" s="81"/>
      <c r="I42" s="81"/>
      <c r="J42" s="81"/>
      <c r="K42" s="81"/>
      <c r="L42" s="81"/>
      <c r="Y42"/>
      <c r="AA42"/>
      <c r="AB42"/>
      <c r="AC42"/>
    </row>
    <row r="43" spans="1:29">
      <c r="A43" s="78"/>
      <c r="B43" s="87"/>
      <c r="C43" s="79"/>
      <c r="D43" s="79"/>
      <c r="E43" s="79"/>
      <c r="F43" s="81"/>
      <c r="G43" s="81"/>
      <c r="H43" s="81"/>
      <c r="I43" s="81"/>
      <c r="J43" s="81"/>
      <c r="K43" s="81"/>
      <c r="L43" s="81"/>
      <c r="Y43"/>
      <c r="AA43"/>
      <c r="AB43"/>
      <c r="AC43"/>
    </row>
    <row r="44" spans="1:29">
      <c r="A44" s="78"/>
      <c r="B44" s="87"/>
      <c r="C44" s="79"/>
      <c r="D44" s="79"/>
      <c r="E44" s="79"/>
      <c r="F44" s="81"/>
      <c r="G44" s="81"/>
      <c r="H44" s="81"/>
      <c r="I44" s="81"/>
      <c r="J44" s="81"/>
      <c r="K44" s="81"/>
      <c r="L44" s="81"/>
    </row>
    <row r="45" spans="1:29">
      <c r="A45" s="78"/>
      <c r="B45" s="87"/>
      <c r="C45" s="79"/>
      <c r="D45" s="79"/>
      <c r="E45" s="79"/>
      <c r="F45" s="81"/>
      <c r="G45" s="81"/>
      <c r="H45" s="81"/>
      <c r="I45" s="81"/>
      <c r="J45" s="81"/>
      <c r="K45" s="81"/>
      <c r="L45" s="81"/>
    </row>
    <row r="46" spans="1:29">
      <c r="A46" s="78"/>
      <c r="B46" s="87"/>
      <c r="C46" s="79"/>
      <c r="D46" s="79"/>
      <c r="E46" s="79"/>
      <c r="F46" s="81"/>
      <c r="G46" s="81"/>
      <c r="H46" s="81"/>
      <c r="I46" s="81"/>
      <c r="J46" s="81"/>
      <c r="K46" s="81"/>
      <c r="L46" s="81"/>
    </row>
    <row r="47" spans="1:29">
      <c r="A47" s="88"/>
      <c r="B47" s="82"/>
      <c r="C47" s="79"/>
      <c r="D47" s="79"/>
      <c r="E47" s="83"/>
      <c r="F47" s="81"/>
      <c r="G47" s="81"/>
      <c r="H47" s="81"/>
      <c r="I47" s="81"/>
      <c r="J47" s="81"/>
      <c r="K47" s="81"/>
      <c r="L47" s="81"/>
    </row>
    <row r="48" spans="1:29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1:12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1:1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1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1:1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1:1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</sheetData>
  <mergeCells count="3">
    <mergeCell ref="A1:AC1"/>
    <mergeCell ref="A2:AC2"/>
    <mergeCell ref="G4:I4"/>
  </mergeCells>
  <phoneticPr fontId="21" type="noConversion"/>
  <conditionalFormatting sqref="Y7:Y26">
    <cfRule type="cellIs" dxfId="305" priority="10" operator="equal">
      <formula>3</formula>
    </cfRule>
    <cfRule type="cellIs" dxfId="304" priority="11" operator="equal">
      <formula>2</formula>
    </cfRule>
    <cfRule type="cellIs" dxfId="303" priority="12" operator="equal">
      <formula>1</formula>
    </cfRule>
  </conditionalFormatting>
  <conditionalFormatting sqref="AA7:AA26">
    <cfRule type="cellIs" dxfId="302" priority="7" operator="equal">
      <formula>3</formula>
    </cfRule>
    <cfRule type="cellIs" dxfId="301" priority="8" operator="equal">
      <formula>2</formula>
    </cfRule>
    <cfRule type="cellIs" dxfId="300" priority="9" operator="equal">
      <formula>1</formula>
    </cfRule>
  </conditionalFormatting>
  <conditionalFormatting sqref="AC7:AC26">
    <cfRule type="cellIs" dxfId="299" priority="4" operator="equal">
      <formula>3</formula>
    </cfRule>
    <cfRule type="cellIs" dxfId="298" priority="5" operator="equal">
      <formula>2</formula>
    </cfRule>
    <cfRule type="cellIs" dxfId="297" priority="6" operator="equal">
      <formula>1</formula>
    </cfRule>
  </conditionalFormatting>
  <conditionalFormatting sqref="P18:P20">
    <cfRule type="cellIs" dxfId="296" priority="1" operator="equal">
      <formula>3</formula>
    </cfRule>
    <cfRule type="cellIs" dxfId="295" priority="2" operator="equal">
      <formula>2</formula>
    </cfRule>
    <cfRule type="cellIs" dxfId="294" priority="3" operator="equal">
      <formula>1</formula>
    </cfRule>
  </conditionalFormatting>
  <pageMargins left="0.75" right="0.75" top="1" bottom="1" header="0.5" footer="0.5"/>
  <pageSetup paperSize="9" scale="52" orientation="landscape" horizontalDpi="4294967292" verticalDpi="4294967292"/>
  <colBreaks count="1" manualBreakCount="1">
    <brk id="29" max="1048575" man="1"/>
  </colBreaks>
  <ignoredErrors>
    <ignoredError sqref="Z7:Z26" formula="1"/>
  </ignoredErrors>
  <tableParts count="2">
    <tablePart r:id="rId1"/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>
  <sheetPr enableFormatConditionsCalculation="0">
    <tabColor rgb="FF000066"/>
  </sheetPr>
  <dimension ref="A1:CQ41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875" customWidth="1"/>
    <col min="2" max="2" width="19.375" customWidth="1"/>
    <col min="3" max="3" width="17.875" customWidth="1"/>
    <col min="4" max="4" width="7.5" customWidth="1"/>
    <col min="5" max="5" width="7.875" bestFit="1" customWidth="1"/>
    <col min="6" max="6" width="7.875" customWidth="1"/>
    <col min="7" max="7" width="7.625" bestFit="1" customWidth="1"/>
    <col min="8" max="11" width="1.875" hidden="1" customWidth="1"/>
    <col min="12" max="12" width="3" customWidth="1"/>
    <col min="13" max="13" width="5.5" bestFit="1" customWidth="1"/>
    <col min="14" max="14" width="19.375" customWidth="1"/>
    <col min="15" max="15" width="17.875" bestFit="1" customWidth="1"/>
    <col min="16" max="16" width="9.125" customWidth="1"/>
    <col min="17" max="17" width="7.625" bestFit="1" customWidth="1"/>
    <col min="18" max="18" width="7.625" customWidth="1"/>
    <col min="19" max="19" width="7.5" bestFit="1" customWidth="1"/>
    <col min="20" max="20" width="6.375" hidden="1" customWidth="1"/>
    <col min="21" max="22" width="6.125" hidden="1" customWidth="1"/>
    <col min="23" max="23" width="7.5" hidden="1" customWidth="1"/>
    <col min="24" max="24" width="2.5" customWidth="1"/>
    <col min="25" max="25" width="5.375" customWidth="1"/>
    <col min="26" max="26" width="19.375" customWidth="1"/>
    <col min="27" max="27" width="18.375" customWidth="1"/>
    <col min="28" max="28" width="7.875" bestFit="1" customWidth="1"/>
    <col min="29" max="29" width="7.625" bestFit="1" customWidth="1"/>
    <col min="30" max="30" width="7.625" customWidth="1"/>
    <col min="31" max="31" width="7.5" bestFit="1" customWidth="1"/>
    <col min="32" max="32" width="6.375" hidden="1" customWidth="1"/>
    <col min="33" max="35" width="6.125" hidden="1" customWidth="1"/>
    <col min="36" max="36" width="0.375" customWidth="1"/>
    <col min="37" max="37" width="0.5" customWidth="1"/>
    <col min="38" max="38" width="0.875" bestFit="1" customWidth="1"/>
    <col min="39" max="39" width="0.625" customWidth="1"/>
    <col min="40" max="41" width="1.125" bestFit="1" customWidth="1"/>
    <col min="42" max="42" width="1" bestFit="1" customWidth="1"/>
    <col min="43" max="46" width="1.5" customWidth="1"/>
  </cols>
  <sheetData>
    <row r="1" spans="1:95" s="91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95" s="91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0"/>
      <c r="BL2" s="90"/>
    </row>
    <row r="3" spans="1:95" ht="23.25">
      <c r="A3" s="8"/>
      <c r="I3" s="1"/>
      <c r="J3" s="4"/>
      <c r="L3" s="4"/>
      <c r="M3" s="5"/>
      <c r="N3" s="4"/>
      <c r="O3" s="4"/>
      <c r="P3" s="4"/>
      <c r="Q3" s="1"/>
      <c r="R3" s="26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6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6"/>
      <c r="AT3" s="6"/>
      <c r="AU3" s="185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ht="21">
      <c r="A4" s="351"/>
      <c r="H4" s="1"/>
      <c r="I4" s="1"/>
      <c r="J4" s="1"/>
      <c r="K4" s="1"/>
      <c r="L4" s="1"/>
      <c r="M4" s="467" t="s">
        <v>528</v>
      </c>
      <c r="N4" s="468"/>
      <c r="O4" s="468"/>
      <c r="P4" s="469"/>
      <c r="Q4" s="1"/>
      <c r="R4" s="264"/>
      <c r="S4" s="1"/>
      <c r="T4" s="1"/>
      <c r="U4" s="1"/>
      <c r="V4" s="1"/>
      <c r="W4" s="1"/>
      <c r="X4" s="1"/>
      <c r="Y4" s="267"/>
      <c r="Z4" s="1"/>
      <c r="AA4" s="1"/>
      <c r="AB4" s="1"/>
      <c r="AC4" s="1"/>
      <c r="AD4" s="26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7"/>
      <c r="AT4" s="7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5">
      <c r="A5" s="8"/>
      <c r="M5" s="8"/>
      <c r="X5" s="1"/>
      <c r="Y5" s="8"/>
      <c r="AS5" s="7"/>
      <c r="AT5" s="7"/>
    </row>
    <row r="6" spans="1:95">
      <c r="A6" s="348" t="s">
        <v>1307</v>
      </c>
      <c r="B6" s="173"/>
      <c r="C6" s="173"/>
      <c r="D6" s="173"/>
      <c r="E6" s="173"/>
      <c r="F6" s="334"/>
      <c r="G6" s="174"/>
      <c r="H6" s="8"/>
      <c r="I6" s="8"/>
      <c r="J6" s="8"/>
      <c r="K6" s="8"/>
      <c r="L6" s="8"/>
      <c r="M6" s="348" t="s">
        <v>1308</v>
      </c>
      <c r="N6" s="220"/>
      <c r="O6" s="220"/>
      <c r="P6" s="220"/>
      <c r="Q6" s="220"/>
      <c r="R6" s="334"/>
      <c r="S6" s="221"/>
      <c r="T6" s="174"/>
      <c r="U6" s="8"/>
      <c r="V6" s="8"/>
      <c r="W6" s="8"/>
      <c r="X6" s="8"/>
      <c r="Y6" s="348" t="s">
        <v>1310</v>
      </c>
      <c r="Z6" s="173"/>
      <c r="AA6" s="173"/>
      <c r="AB6" s="173"/>
      <c r="AC6" s="173"/>
      <c r="AD6" s="334"/>
      <c r="AE6" s="174"/>
      <c r="AF6" s="8"/>
      <c r="AG6" s="8"/>
      <c r="AH6" s="8"/>
      <c r="AI6" s="8"/>
      <c r="AJ6" s="8"/>
    </row>
    <row r="7" spans="1:95">
      <c r="A7" s="354" t="s">
        <v>1</v>
      </c>
      <c r="B7" s="9" t="s">
        <v>2</v>
      </c>
      <c r="C7" s="9" t="s">
        <v>12</v>
      </c>
      <c r="D7" s="9" t="s">
        <v>3</v>
      </c>
      <c r="E7" s="9" t="s">
        <v>4</v>
      </c>
      <c r="F7" s="9" t="s">
        <v>5</v>
      </c>
      <c r="G7" s="265" t="s">
        <v>11</v>
      </c>
      <c r="H7" s="112" t="s">
        <v>6</v>
      </c>
      <c r="I7" s="11"/>
      <c r="J7" s="11" t="s">
        <v>7</v>
      </c>
      <c r="K7" s="11"/>
      <c r="M7" s="354" t="s">
        <v>1</v>
      </c>
      <c r="N7" s="9" t="s">
        <v>2</v>
      </c>
      <c r="O7" s="9" t="s">
        <v>12</v>
      </c>
      <c r="P7" s="9" t="s">
        <v>3</v>
      </c>
      <c r="Q7" s="9" t="s">
        <v>4</v>
      </c>
      <c r="R7" s="265" t="s">
        <v>5</v>
      </c>
      <c r="S7" s="9" t="s">
        <v>11</v>
      </c>
      <c r="T7" s="9" t="s">
        <v>5</v>
      </c>
      <c r="U7" s="11"/>
      <c r="V7" s="11" t="s">
        <v>7</v>
      </c>
      <c r="W7" s="11"/>
      <c r="Y7" s="354" t="s">
        <v>1</v>
      </c>
      <c r="Z7" s="9" t="s">
        <v>2</v>
      </c>
      <c r="AA7" s="9" t="s">
        <v>12</v>
      </c>
      <c r="AB7" s="9" t="s">
        <v>3</v>
      </c>
      <c r="AC7" s="9" t="s">
        <v>4</v>
      </c>
      <c r="AD7" s="265" t="s">
        <v>5</v>
      </c>
      <c r="AE7" s="265" t="s">
        <v>11</v>
      </c>
      <c r="AF7" s="112" t="s">
        <v>6</v>
      </c>
      <c r="AG7" s="11"/>
      <c r="AH7" s="11" t="s">
        <v>7</v>
      </c>
      <c r="AI7" s="11"/>
    </row>
    <row r="8" spans="1:95">
      <c r="A8" s="150">
        <v>1241</v>
      </c>
      <c r="B8" s="8" t="s">
        <v>531</v>
      </c>
      <c r="C8" s="100" t="s">
        <v>17</v>
      </c>
      <c r="D8" s="13">
        <v>7.3</v>
      </c>
      <c r="E8" s="13">
        <v>9</v>
      </c>
      <c r="F8" s="13">
        <f>SUM(D8,E8)</f>
        <v>16.3</v>
      </c>
      <c r="G8" s="340">
        <f>SUMPRODUCT((F$8:F$9&gt;F8)/COUNTIF(F$8:F$9,F$8:F$9&amp;""))+1</f>
        <v>1</v>
      </c>
      <c r="H8" s="11" t="e">
        <f>IF(#REF!="M",#REF!)</f>
        <v>#REF!</v>
      </c>
      <c r="I8" s="11" t="e">
        <f>IF(#REF!="F",#REF!)</f>
        <v>#REF!</v>
      </c>
      <c r="J8" s="11" t="e">
        <f>IF(#REF!="M",#REF!)</f>
        <v>#REF!</v>
      </c>
      <c r="K8" s="11" t="e">
        <f>IF(#REF!="F",#REF!)</f>
        <v>#REF!</v>
      </c>
      <c r="M8" s="150">
        <v>1243</v>
      </c>
      <c r="N8" s="100" t="s">
        <v>1020</v>
      </c>
      <c r="O8" s="42" t="s">
        <v>397</v>
      </c>
      <c r="P8" s="13">
        <v>8.9499999999999993</v>
      </c>
      <c r="Q8" s="13">
        <v>7.8</v>
      </c>
      <c r="R8" s="13">
        <f>SUM(P8,Q8)</f>
        <v>16.75</v>
      </c>
      <c r="S8" s="340">
        <f>SUMPRODUCT((R$8:R$10&gt;R8)/COUNTIF(R$8:R$10,R$8:R$10&amp;""))+1</f>
        <v>2</v>
      </c>
      <c r="T8" s="13">
        <f>SUM(AC8:AE8)</f>
        <v>26.200000000000003</v>
      </c>
      <c r="U8" s="11" t="e">
        <f>IF(#REF!="F",#REF!)</f>
        <v>#REF!</v>
      </c>
      <c r="V8" s="11" t="e">
        <f>IF(#REF!="M",#REF!)</f>
        <v>#REF!</v>
      </c>
      <c r="W8" s="11" t="e">
        <f>IF(#REF!="F",#REF!)</f>
        <v>#REF!</v>
      </c>
      <c r="Y8" s="150">
        <v>1249</v>
      </c>
      <c r="Z8" s="100" t="s">
        <v>1147</v>
      </c>
      <c r="AA8" s="234" t="s">
        <v>17</v>
      </c>
      <c r="AB8" s="13">
        <v>8</v>
      </c>
      <c r="AC8" s="13">
        <v>8.1</v>
      </c>
      <c r="AD8" s="13">
        <f t="shared" ref="AD8:AD9" si="0">SUM(AB8,AC8)</f>
        <v>16.100000000000001</v>
      </c>
      <c r="AE8" s="340">
        <f>SUMPRODUCT((AD$8:AD$10&gt;AD8)/COUNTIF(AD$8:AD$10,AD$8:AD$10&amp;""))+1</f>
        <v>2</v>
      </c>
      <c r="AF8" s="340">
        <f t="shared" ref="AF8:AI8" si="1">SUMPRODUCT((AE$8:AE$10&gt;AE8)/COUNTIF(AE$8:AE$10,AE$8:AE$10&amp;""))+1</f>
        <v>1</v>
      </c>
      <c r="AG8" s="340" t="e">
        <f t="shared" si="1"/>
        <v>#REF!</v>
      </c>
      <c r="AH8" s="340" t="e">
        <f t="shared" si="1"/>
        <v>#REF!</v>
      </c>
      <c r="AI8" s="340" t="e">
        <f t="shared" si="1"/>
        <v>#REF!</v>
      </c>
    </row>
    <row r="9" spans="1:95">
      <c r="A9" s="230">
        <v>1242</v>
      </c>
      <c r="B9" s="187" t="s">
        <v>532</v>
      </c>
      <c r="C9" s="100" t="s">
        <v>17</v>
      </c>
      <c r="D9" s="13">
        <v>7.4</v>
      </c>
      <c r="E9" s="13">
        <v>8.8000000000000007</v>
      </c>
      <c r="F9" s="13">
        <f>SUM(D9,E9)</f>
        <v>16.200000000000003</v>
      </c>
      <c r="G9" s="340">
        <f>SUMPRODUCT((F$8:F$9&gt;F9)/COUNTIF(F$8:F$9,F$8:F$9&amp;""))+1</f>
        <v>2</v>
      </c>
      <c r="H9" s="11" t="e">
        <f>IF(#REF!="M",#REF!)</f>
        <v>#REF!</v>
      </c>
      <c r="I9" s="11" t="e">
        <f>IF(#REF!="F",#REF!)</f>
        <v>#REF!</v>
      </c>
      <c r="J9" s="11" t="e">
        <f>IF(#REF!="M",#REF!)</f>
        <v>#REF!</v>
      </c>
      <c r="K9" s="11" t="e">
        <f>IF(#REF!="F",#REF!)</f>
        <v>#REF!</v>
      </c>
      <c r="M9" s="150">
        <v>1244</v>
      </c>
      <c r="N9" s="100" t="s">
        <v>1021</v>
      </c>
      <c r="O9" s="42" t="s">
        <v>397</v>
      </c>
      <c r="P9" s="13">
        <v>8.5500000000000007</v>
      </c>
      <c r="Q9" s="13">
        <v>7.8</v>
      </c>
      <c r="R9" s="13">
        <f>SUM(P9,Q9)</f>
        <v>16.350000000000001</v>
      </c>
      <c r="S9" s="340">
        <f t="shared" ref="S9:S10" si="2">SUMPRODUCT((R$8:R$10&gt;R9)/COUNTIF(R$8:R$10,R$8:R$10&amp;""))+1</f>
        <v>3</v>
      </c>
      <c r="T9" s="11" t="b">
        <f>IF(Y9="M",AB9)</f>
        <v>0</v>
      </c>
      <c r="U9" s="11" t="b">
        <f>IF(Y9="F",AB9)</f>
        <v>0</v>
      </c>
      <c r="V9" s="11" t="b">
        <f>IF(Y9="M",AC9)</f>
        <v>0</v>
      </c>
      <c r="W9" s="11" t="b">
        <f>IF(Y9="F",AC9)</f>
        <v>0</v>
      </c>
      <c r="Y9" s="230">
        <v>1250</v>
      </c>
      <c r="Z9" s="227" t="s">
        <v>1148</v>
      </c>
      <c r="AA9" s="234" t="s">
        <v>17</v>
      </c>
      <c r="AB9" s="13">
        <v>8.1999999999999993</v>
      </c>
      <c r="AC9" s="13">
        <v>7.9</v>
      </c>
      <c r="AD9" s="13">
        <f t="shared" si="0"/>
        <v>16.100000000000001</v>
      </c>
      <c r="AE9" s="340">
        <f t="shared" ref="AE9:AE10" si="3">SUMPRODUCT((AD$8:AD$10&gt;AD9)/COUNTIF(AD$8:AD$10,AD$8:AD$10&amp;""))+1</f>
        <v>2</v>
      </c>
      <c r="AF9" s="11" t="e">
        <f>IF(#REF!="M",#REF!)</f>
        <v>#REF!</v>
      </c>
      <c r="AG9" s="11" t="e">
        <f>IF(#REF!="F",#REF!)</f>
        <v>#REF!</v>
      </c>
      <c r="AH9" s="11" t="e">
        <f>IF(#REF!="M",#REF!)</f>
        <v>#REF!</v>
      </c>
      <c r="AI9" s="11" t="e">
        <f>IF(#REF!="F",#REF!)</f>
        <v>#REF!</v>
      </c>
    </row>
    <row r="10" spans="1:95">
      <c r="A10" s="8"/>
      <c r="H10" s="11" t="b">
        <f>IF(Y6="M",AC6)</f>
        <v>0</v>
      </c>
      <c r="I10" s="11" t="b">
        <f>IF(Y6="F",AC6)</f>
        <v>0</v>
      </c>
      <c r="J10" s="11" t="b">
        <f>IF(Y6="M",AE6)</f>
        <v>0</v>
      </c>
      <c r="K10" s="11" t="b">
        <f>IF(Y6="F",AE6)</f>
        <v>0</v>
      </c>
      <c r="M10" s="150">
        <v>1245</v>
      </c>
      <c r="N10" s="100" t="s">
        <v>1149</v>
      </c>
      <c r="O10" s="42" t="s">
        <v>17</v>
      </c>
      <c r="P10" s="13">
        <v>8.5</v>
      </c>
      <c r="Q10" s="13">
        <v>8.9</v>
      </c>
      <c r="R10" s="13">
        <v>17.399999999999999</v>
      </c>
      <c r="S10" s="340">
        <f t="shared" si="2"/>
        <v>1</v>
      </c>
      <c r="T10" s="11" t="b">
        <f>IF(Y16="M",#REF!)</f>
        <v>0</v>
      </c>
      <c r="U10" s="11" t="b">
        <f>IF(Y16="F",#REF!)</f>
        <v>0</v>
      </c>
      <c r="V10" s="11" t="b">
        <f>IF(Y16="M",#REF!)</f>
        <v>0</v>
      </c>
      <c r="W10" s="11" t="b">
        <f>IF(Y16="F",#REF!)</f>
        <v>0</v>
      </c>
      <c r="Y10" s="230">
        <v>1251</v>
      </c>
      <c r="Z10" s="227" t="s">
        <v>1214</v>
      </c>
      <c r="AA10" s="234" t="s">
        <v>1213</v>
      </c>
      <c r="AB10" s="13">
        <v>9</v>
      </c>
      <c r="AC10" s="13">
        <v>8.3000000000000007</v>
      </c>
      <c r="AD10" s="13">
        <v>17.3</v>
      </c>
      <c r="AE10" s="340">
        <f t="shared" si="3"/>
        <v>1</v>
      </c>
      <c r="AF10" s="11" t="e">
        <f>IF(#REF!="M",#REF!)</f>
        <v>#REF!</v>
      </c>
      <c r="AG10" s="11" t="e">
        <f>IF(#REF!="F",#REF!)</f>
        <v>#REF!</v>
      </c>
      <c r="AH10" s="11" t="e">
        <f>IF(#REF!="M",#REF!)</f>
        <v>#REF!</v>
      </c>
      <c r="AI10" s="11" t="e">
        <f>IF(#REF!="F",#REF!)</f>
        <v>#REF!</v>
      </c>
    </row>
    <row r="11" spans="1:95">
      <c r="A11" s="8"/>
      <c r="H11" s="15" t="b">
        <f>IF(Y7="M",AC7)</f>
        <v>0</v>
      </c>
      <c r="I11" s="15" t="b">
        <f>IF(Y7="F",AC7)</f>
        <v>0</v>
      </c>
      <c r="J11" s="15" t="b">
        <f>IF(Y7="M",AE7)</f>
        <v>0</v>
      </c>
      <c r="K11" s="15" t="b">
        <f>IF(Y7="F",AE7)</f>
        <v>0</v>
      </c>
      <c r="L11" s="8"/>
      <c r="M11" s="8"/>
      <c r="T11" s="15" t="b">
        <f>IF(Y17="M",#REF!)</f>
        <v>0</v>
      </c>
      <c r="U11" s="15" t="b">
        <f>IF(Y17="F",#REF!)</f>
        <v>0</v>
      </c>
      <c r="V11" s="15" t="b">
        <f>IF(Y17="M",#REF!)</f>
        <v>0</v>
      </c>
      <c r="W11" s="15" t="b">
        <f>IF(Y17="F",#REF!)</f>
        <v>0</v>
      </c>
      <c r="X11" s="8"/>
      <c r="Y11" s="8"/>
      <c r="AF11" s="15" t="e">
        <f>IF(#REF!="M",#REF!)</f>
        <v>#REF!</v>
      </c>
      <c r="AG11" s="15" t="e">
        <f>IF(#REF!="F",#REF!)</f>
        <v>#REF!</v>
      </c>
      <c r="AH11" s="15" t="e">
        <f>IF(#REF!="M",#REF!)</f>
        <v>#REF!</v>
      </c>
      <c r="AI11" s="15" t="e">
        <f>IF(#REF!="F",#REF!)</f>
        <v>#REF!</v>
      </c>
      <c r="AJ11" s="8"/>
    </row>
    <row r="12" spans="1:95">
      <c r="H12" s="15" t="b">
        <f>IF(Y8="M",AC8)</f>
        <v>0</v>
      </c>
      <c r="I12" s="15" t="b">
        <f>IF(Y8="F",AC8)</f>
        <v>0</v>
      </c>
      <c r="J12" s="15" t="b">
        <f>IF(Y8="M",AE8)</f>
        <v>0</v>
      </c>
      <c r="K12" s="15" t="b">
        <f>IF(Y8="F",AE8)</f>
        <v>0</v>
      </c>
      <c r="L12" s="8"/>
      <c r="M12" s="348" t="s">
        <v>1309</v>
      </c>
      <c r="N12" s="173"/>
      <c r="O12" s="173"/>
      <c r="P12" s="173"/>
      <c r="Q12" s="173"/>
      <c r="R12" s="334"/>
      <c r="S12" s="174"/>
      <c r="T12" s="15" t="b">
        <f>IF(Y18="M",#REF!)</f>
        <v>0</v>
      </c>
      <c r="U12" s="15" t="b">
        <f>IF(Y18="F",#REF!)</f>
        <v>0</v>
      </c>
      <c r="V12" s="15" t="b">
        <f>IF(Y18="M",#REF!)</f>
        <v>0</v>
      </c>
      <c r="W12" s="15" t="b">
        <f>IF(Y18="F",#REF!)</f>
        <v>0</v>
      </c>
      <c r="X12" s="8"/>
      <c r="Y12" s="348" t="s">
        <v>1311</v>
      </c>
      <c r="Z12" s="173"/>
      <c r="AA12" s="173"/>
      <c r="AB12" s="173"/>
      <c r="AC12" s="173"/>
      <c r="AD12" s="334"/>
      <c r="AE12" s="174"/>
      <c r="AF12" s="15" t="e">
        <f>IF(#REF!="M",#REF!)</f>
        <v>#REF!</v>
      </c>
      <c r="AG12" s="15" t="e">
        <f>IF(#REF!="F",#REF!)</f>
        <v>#REF!</v>
      </c>
      <c r="AH12" s="15" t="e">
        <f>IF(#REF!="M",#REF!)</f>
        <v>#REF!</v>
      </c>
      <c r="AI12" s="15" t="e">
        <f>IF(#REF!="F",#REF!)</f>
        <v>#REF!</v>
      </c>
      <c r="AJ12" s="8"/>
    </row>
    <row r="13" spans="1:95">
      <c r="H13" s="15" t="e">
        <f>IF(#REF!="M",#REF!)</f>
        <v>#REF!</v>
      </c>
      <c r="I13" s="15" t="e">
        <f>IF(#REF!="F",#REF!)</f>
        <v>#REF!</v>
      </c>
      <c r="J13" s="15" t="e">
        <f>IF(#REF!="M",#REF!)</f>
        <v>#REF!</v>
      </c>
      <c r="K13" s="15" t="e">
        <f>IF(#REF!="F",#REF!)</f>
        <v>#REF!</v>
      </c>
      <c r="L13" s="8"/>
      <c r="M13" s="354" t="s">
        <v>1</v>
      </c>
      <c r="N13" s="9" t="s">
        <v>2</v>
      </c>
      <c r="O13" s="9" t="s">
        <v>12</v>
      </c>
      <c r="P13" s="9" t="s">
        <v>3</v>
      </c>
      <c r="Q13" s="9" t="s">
        <v>4</v>
      </c>
      <c r="R13" s="265" t="s">
        <v>5</v>
      </c>
      <c r="S13" s="9" t="s">
        <v>11</v>
      </c>
      <c r="T13" s="15" t="e">
        <f>IF(#REF!="M",#REF!)</f>
        <v>#REF!</v>
      </c>
      <c r="U13" s="15" t="e">
        <f>IF(#REF!="F",#REF!)</f>
        <v>#REF!</v>
      </c>
      <c r="V13" s="15" t="e">
        <f>IF(#REF!="M",#REF!)</f>
        <v>#REF!</v>
      </c>
      <c r="W13" s="15" t="e">
        <f>IF(#REF!="F",#REF!)</f>
        <v>#REF!</v>
      </c>
      <c r="X13" s="8"/>
      <c r="Y13" s="354" t="s">
        <v>1</v>
      </c>
      <c r="Z13" s="9" t="s">
        <v>2</v>
      </c>
      <c r="AA13" s="9" t="s">
        <v>12</v>
      </c>
      <c r="AB13" s="9" t="s">
        <v>3</v>
      </c>
      <c r="AC13" s="9" t="s">
        <v>4</v>
      </c>
      <c r="AD13" s="265" t="s">
        <v>5</v>
      </c>
      <c r="AE13" s="265" t="s">
        <v>11</v>
      </c>
      <c r="AF13" s="15" t="e">
        <f>IF(#REF!="M",#REF!)</f>
        <v>#REF!</v>
      </c>
      <c r="AG13" s="15" t="e">
        <f>IF(#REF!="F",#REF!)</f>
        <v>#REF!</v>
      </c>
      <c r="AH13" s="15" t="e">
        <f>IF(#REF!="M",#REF!)</f>
        <v>#REF!</v>
      </c>
      <c r="AI13" s="15" t="e">
        <f>IF(#REF!="F",#REF!)</f>
        <v>#REF!</v>
      </c>
      <c r="AJ13" s="8"/>
    </row>
    <row r="14" spans="1:95">
      <c r="H14" s="8" t="e">
        <f>COUNTIF(#REF!,"M")</f>
        <v>#REF!</v>
      </c>
      <c r="I14" s="8" t="e">
        <f>COUNTIF(#REF!,"F")</f>
        <v>#REF!</v>
      </c>
      <c r="J14" s="8" t="e">
        <f>COUNTIF(#REF!,"M")</f>
        <v>#REF!</v>
      </c>
      <c r="K14" s="8" t="e">
        <f>COUNTIF(#REF!,"F")</f>
        <v>#REF!</v>
      </c>
      <c r="L14" s="8"/>
      <c r="M14" s="150">
        <v>1246</v>
      </c>
      <c r="N14" s="120" t="s">
        <v>1019</v>
      </c>
      <c r="O14" s="42" t="s">
        <v>397</v>
      </c>
      <c r="P14" s="13">
        <v>9.15</v>
      </c>
      <c r="Q14" s="13">
        <v>8.3000000000000007</v>
      </c>
      <c r="R14" s="13">
        <f t="shared" ref="R14:R16" si="4">SUM(P14,Q14)</f>
        <v>17.450000000000003</v>
      </c>
      <c r="S14" s="340">
        <f>SUMPRODUCT((R$14:R$16&gt;R14)/COUNTIF(R$14:R$16,R$14:R$16&amp;""))+1</f>
        <v>1</v>
      </c>
      <c r="T14" s="8" t="e">
        <f>COUNTIF(#REF!,"M")</f>
        <v>#REF!</v>
      </c>
      <c r="U14" s="8" t="e">
        <f>COUNTIF(#REF!,"F")</f>
        <v>#REF!</v>
      </c>
      <c r="V14" s="8" t="e">
        <f>COUNTIF(#REF!,"M")</f>
        <v>#REF!</v>
      </c>
      <c r="W14" s="8" t="e">
        <f>COUNTIF(#REF!,"F")</f>
        <v>#REF!</v>
      </c>
      <c r="X14" s="8"/>
      <c r="Y14" s="150">
        <v>1252</v>
      </c>
      <c r="Z14" s="16" t="s">
        <v>530</v>
      </c>
      <c r="AA14" s="42" t="s">
        <v>535</v>
      </c>
      <c r="AB14" s="13">
        <v>8</v>
      </c>
      <c r="AC14" s="13">
        <v>7.4</v>
      </c>
      <c r="AD14" s="13">
        <f t="shared" ref="AD14" si="5">SUM(AB14,AC14)</f>
        <v>15.4</v>
      </c>
      <c r="AE14" s="340">
        <f>SUMPRODUCT((AD$14:AD$14&gt;AD14)/COUNTIF(AD$14:AD$14,AD$14:AD$14&amp;""))+1</f>
        <v>1</v>
      </c>
      <c r="AF14" s="8" t="e">
        <f>COUNTIF(#REF!,"M")</f>
        <v>#REF!</v>
      </c>
      <c r="AG14" s="8" t="e">
        <f>COUNTIF(#REF!,"F")</f>
        <v>#REF!</v>
      </c>
      <c r="AH14" s="8" t="e">
        <f>COUNTIF(#REF!,"M")</f>
        <v>#REF!</v>
      </c>
      <c r="AI14" s="8" t="e">
        <f>COUNTIF(#REF!,"F")</f>
        <v>#REF!</v>
      </c>
      <c r="AJ14" s="8"/>
    </row>
    <row r="15" spans="1:95">
      <c r="H15" s="23" t="e">
        <f>IF(H14=2,SUM(H8:H13),IF(H14=3,SUM(H8:H13)-SMALL(H8:H13,1),IF(H14=4,SUM(H8:H13)-SMALL(H8:H13,1)-SMALL(H8:H13,2))))</f>
        <v>#REF!</v>
      </c>
      <c r="I15" s="23" t="e">
        <f>IF(I14=2,SUM(I8:I13),IF(I14=3,SUM(I8:I13)-SMALL(I8:I13,1),IF(I14=4,SUM(I8:I13)-SMALL(I8:I13,1)-SMALL(I8:I13,2))))</f>
        <v>#REF!</v>
      </c>
      <c r="J15" s="23" t="e">
        <f>IF(J14=2,SUM(J8:J13),IF(J14=3,SUM(J8:J13)-SMALL(J8:J13,1),IF(J14=4,SUM(J8:J13)-SMALL(J8:J13,1)-SMALL(J8:J13,2))))</f>
        <v>#REF!</v>
      </c>
      <c r="K15" s="23" t="e">
        <f>IF(K14=2,SUM(K8:K13),IF(K14=3,SUM(K8:K13)-SMALL(K8:K13,1),IF(K14=4,SUM(K8:K13)-SMALL(K8:K13,1)-SMALL(K8:K13,2))))</f>
        <v>#REF!</v>
      </c>
      <c r="L15" s="8"/>
      <c r="M15" s="150">
        <v>1247</v>
      </c>
      <c r="N15" s="16" t="s">
        <v>1150</v>
      </c>
      <c r="O15" s="42" t="s">
        <v>17</v>
      </c>
      <c r="P15" s="13">
        <v>7.6</v>
      </c>
      <c r="Q15" s="13">
        <v>8.8000000000000007</v>
      </c>
      <c r="R15" s="13">
        <f t="shared" si="4"/>
        <v>16.399999999999999</v>
      </c>
      <c r="S15" s="340">
        <f t="shared" ref="S15:S16" si="6">SUMPRODUCT((R$14:R$16&gt;R15)/COUNTIF(R$14:R$16,R$14:R$16&amp;""))+1</f>
        <v>2</v>
      </c>
      <c r="T15" s="23" t="e">
        <f>IF(T14=2,SUM(T9:T13),IF(T14=3,SUM(T9:T13)-SMALL(T9:T13,1),IF(T14=4,SUM(T9:T13)-SMALL(T9:T13,1)-SMALL(T9:T13,2))))</f>
        <v>#REF!</v>
      </c>
      <c r="U15" s="23" t="e">
        <f>IF(U14=2,SUM(U8:U13),IF(U14=3,SUM(U8:U13)-SMALL(U8:U13,1),IF(U14=4,SUM(U8:U13)-SMALL(U8:U13,1)-SMALL(U8:U13,2))))</f>
        <v>#REF!</v>
      </c>
      <c r="V15" s="23" t="e">
        <f>IF(V14=2,SUM(V8:V13),IF(V14=3,SUM(V8:V13)-SMALL(V8:V13,1),IF(V14=4,SUM(V8:V13)-SMALL(V8:V13,1)-SMALL(V8:V13,2))))</f>
        <v>#REF!</v>
      </c>
      <c r="W15" s="23" t="e">
        <f>IF(W14=2,SUM(W8:W13),IF(W14=3,SUM(W8:W13)-SMALL(W8:W13,1),IF(W14=4,SUM(W8:W13)-SMALL(W8:W13,1)-SMALL(W8:W13,2))))</f>
        <v>#REF!</v>
      </c>
      <c r="X15" s="8"/>
      <c r="Y15" s="8"/>
      <c r="AF15" s="23" t="e">
        <f>IF(AF14=2,SUM(AF8:AF13),IF(AF14=3,SUM(AF8:AF13)-SMALL(AF8:AF13,1),IF(AF14=4,SUM(AF8:AF13)-SMALL(AF8:AF13,1)-SMALL(AF8:AF13,2))))</f>
        <v>#REF!</v>
      </c>
      <c r="AG15" s="23" t="e">
        <f>IF(AG14=2,SUM(AG8:AG13),IF(AG14=3,SUM(AG8:AG13)-SMALL(AG8:AG13,1),IF(AG14=4,SUM(AG8:AG13)-SMALL(AG8:AG13,1)-SMALL(AG8:AG13,2))))</f>
        <v>#REF!</v>
      </c>
      <c r="AH15" s="23" t="e">
        <f>IF(AH14=2,SUM(AH8:AH13),IF(AH14=3,SUM(AH8:AH13)-SMALL(AH8:AH13,1),IF(AH14=4,SUM(AH8:AH13)-SMALL(AH8:AH13,1)-SMALL(AH8:AH13,2))))</f>
        <v>#REF!</v>
      </c>
      <c r="AI15" s="23" t="e">
        <f>IF(AI14=2,SUM(AI8:AI13),IF(AI14=3,SUM(AI8:AI13)-SMALL(AI8:AI13,1),IF(AI14=4,SUM(AI8:AI13)-SMALL(AI8:AI13,1)-SMALL(AI8:AI13,2))))</f>
        <v>#REF!</v>
      </c>
      <c r="AJ15" s="8"/>
    </row>
    <row r="16" spans="1:95">
      <c r="H16" s="8"/>
      <c r="I16" s="8"/>
      <c r="J16" s="8"/>
      <c r="K16" s="8"/>
      <c r="L16" s="8"/>
      <c r="M16" s="150">
        <v>1248</v>
      </c>
      <c r="N16" s="235" t="s">
        <v>1151</v>
      </c>
      <c r="O16" s="42" t="s">
        <v>17</v>
      </c>
      <c r="P16" s="13">
        <v>7.5</v>
      </c>
      <c r="Q16" s="13">
        <v>8.9</v>
      </c>
      <c r="R16" s="13">
        <f t="shared" si="4"/>
        <v>16.399999999999999</v>
      </c>
      <c r="S16" s="340">
        <f t="shared" si="6"/>
        <v>2</v>
      </c>
      <c r="T16" s="8"/>
      <c r="U16" s="8"/>
      <c r="V16" s="8"/>
      <c r="W16" s="8"/>
      <c r="X16" s="8"/>
      <c r="Y16" s="348" t="s">
        <v>1312</v>
      </c>
      <c r="Z16" s="173"/>
      <c r="AA16" s="173"/>
      <c r="AB16" s="173"/>
      <c r="AC16" s="173"/>
      <c r="AD16" s="334"/>
      <c r="AE16" s="174"/>
    </row>
    <row r="17" spans="8:31">
      <c r="H17" s="8"/>
      <c r="I17" s="8"/>
      <c r="J17" s="8"/>
      <c r="K17" s="8"/>
      <c r="L17" s="8"/>
      <c r="M17" s="8"/>
      <c r="T17" s="8"/>
      <c r="U17" s="8"/>
      <c r="V17" s="8"/>
      <c r="W17" s="8"/>
      <c r="X17" s="8"/>
      <c r="Y17" s="354" t="s">
        <v>1</v>
      </c>
      <c r="Z17" s="9" t="s">
        <v>2</v>
      </c>
      <c r="AA17" s="9" t="s">
        <v>12</v>
      </c>
      <c r="AB17" s="9" t="s">
        <v>3</v>
      </c>
      <c r="AC17" s="9" t="s">
        <v>4</v>
      </c>
      <c r="AD17" s="265" t="s">
        <v>5</v>
      </c>
      <c r="AE17" s="265" t="s">
        <v>11</v>
      </c>
    </row>
    <row r="18" spans="8:31" s="8" customFormat="1">
      <c r="Y18" s="150">
        <v>1253</v>
      </c>
      <c r="Z18" s="8" t="s">
        <v>533</v>
      </c>
      <c r="AA18" s="42" t="s">
        <v>535</v>
      </c>
      <c r="AB18" s="13">
        <v>8.9</v>
      </c>
      <c r="AC18" s="13">
        <v>7.8</v>
      </c>
      <c r="AD18" s="13">
        <f t="shared" ref="AD18:AD23" si="7">SUM(AB18,AC18)</f>
        <v>16.7</v>
      </c>
      <c r="AE18" s="340">
        <f>SUMPRODUCT((AD$18:AD$23&gt;AD18)/COUNTIF(AD$18:AD$23,AD$18:AD$23&amp;""))+1</f>
        <v>3</v>
      </c>
    </row>
    <row r="19" spans="8:31">
      <c r="H19" s="112" t="e">
        <f>IF(#REF!="M",#REF!)</f>
        <v>#REF!</v>
      </c>
      <c r="I19" s="15" t="e">
        <f>IF(#REF!="F",#REF!)</f>
        <v>#REF!</v>
      </c>
      <c r="J19" s="15" t="e">
        <f>IF(#REF!="M",#REF!)</f>
        <v>#REF!</v>
      </c>
      <c r="K19" s="15" t="e">
        <f>IF(#REF!="F",#REF!)</f>
        <v>#REF!</v>
      </c>
      <c r="L19" s="8"/>
      <c r="M19" s="259"/>
      <c r="N19" s="1"/>
      <c r="O19" s="110"/>
      <c r="P19" s="73"/>
      <c r="Q19" s="73"/>
      <c r="R19" s="73"/>
      <c r="S19" s="73"/>
      <c r="T19" s="15"/>
      <c r="U19" s="8"/>
      <c r="V19" s="8"/>
      <c r="W19" s="8"/>
      <c r="X19" s="186"/>
      <c r="Y19" s="230">
        <v>1254</v>
      </c>
      <c r="Z19" s="227" t="s">
        <v>534</v>
      </c>
      <c r="AA19" s="42" t="s">
        <v>535</v>
      </c>
      <c r="AB19" s="13">
        <v>8.3000000000000007</v>
      </c>
      <c r="AC19" s="13">
        <v>7.9</v>
      </c>
      <c r="AD19" s="13">
        <f t="shared" si="7"/>
        <v>16.200000000000003</v>
      </c>
      <c r="AE19" s="340">
        <f t="shared" ref="AE19:AE23" si="8">SUMPRODUCT((AD$18:AD$23&gt;AD19)/COUNTIF(AD$18:AD$23,AD$18:AD$23&amp;""))+1</f>
        <v>5</v>
      </c>
    </row>
    <row r="20" spans="8:31">
      <c r="H20" s="15" t="e">
        <f>IF(#REF!="M",#REF!)</f>
        <v>#REF!</v>
      </c>
      <c r="I20" s="15" t="e">
        <f>IF(#REF!="F",#REF!)</f>
        <v>#REF!</v>
      </c>
      <c r="J20" s="15" t="e">
        <f>IF(#REF!="M",#REF!)</f>
        <v>#REF!</v>
      </c>
      <c r="K20" s="15" t="e">
        <f>IF(#REF!="F",#REF!)</f>
        <v>#REF!</v>
      </c>
      <c r="L20" s="8"/>
      <c r="M20" s="111"/>
      <c r="N20" s="111"/>
      <c r="O20" s="111"/>
      <c r="P20" s="111"/>
      <c r="Q20" s="111"/>
      <c r="R20" s="111"/>
      <c r="S20" s="111"/>
      <c r="T20" s="15"/>
      <c r="U20" s="8"/>
      <c r="Y20" s="408">
        <v>1255</v>
      </c>
      <c r="Z20" s="407" t="s">
        <v>536</v>
      </c>
      <c r="AA20" s="407" t="s">
        <v>535</v>
      </c>
      <c r="AB20" s="398">
        <v>0</v>
      </c>
      <c r="AC20" s="398">
        <v>0</v>
      </c>
      <c r="AD20" s="398">
        <f t="shared" si="7"/>
        <v>0</v>
      </c>
      <c r="AE20" s="437">
        <f t="shared" si="8"/>
        <v>6</v>
      </c>
    </row>
    <row r="21" spans="8:31">
      <c r="H21" t="e">
        <f>IF(#REF!="M",#REF!)</f>
        <v>#REF!</v>
      </c>
      <c r="I21" t="e">
        <f>IF(#REF!="F",#REF!)</f>
        <v>#REF!</v>
      </c>
      <c r="J21" t="e">
        <f>IF(#REF!="M",#REF!)</f>
        <v>#REF!</v>
      </c>
      <c r="K21" t="e">
        <f>IF(#REF!="F",#REF!)</f>
        <v>#REF!</v>
      </c>
      <c r="M21" s="152"/>
      <c r="N21" s="110"/>
      <c r="O21" s="110"/>
      <c r="P21" s="73"/>
      <c r="Q21" s="73"/>
      <c r="R21" s="73"/>
      <c r="S21" s="73"/>
      <c r="Y21" s="230">
        <v>1256</v>
      </c>
      <c r="Z21" s="42" t="s">
        <v>529</v>
      </c>
      <c r="AA21" s="42" t="s">
        <v>397</v>
      </c>
      <c r="AB21" s="13">
        <v>8.6</v>
      </c>
      <c r="AC21" s="13">
        <v>8</v>
      </c>
      <c r="AD21" s="13">
        <f t="shared" si="7"/>
        <v>16.600000000000001</v>
      </c>
      <c r="AE21" s="340">
        <f t="shared" si="8"/>
        <v>4</v>
      </c>
    </row>
    <row r="22" spans="8:31">
      <c r="H22" t="e">
        <f>IF(#REF!="M",#REF!)</f>
        <v>#REF!</v>
      </c>
      <c r="I22" t="e">
        <f>IF(#REF!="F",#REF!)</f>
        <v>#REF!</v>
      </c>
      <c r="J22" t="e">
        <f>IF(#REF!="M",#REF!)</f>
        <v>#REF!</v>
      </c>
      <c r="K22" t="e">
        <f>IF(#REF!="F",#REF!)</f>
        <v>#REF!</v>
      </c>
      <c r="M22" s="1"/>
      <c r="N22" s="1"/>
      <c r="O22" s="1"/>
      <c r="P22" s="1"/>
      <c r="Q22" s="1"/>
      <c r="R22" s="264"/>
      <c r="S22" s="1"/>
      <c r="Y22" s="150">
        <v>1257</v>
      </c>
      <c r="Z22" s="42" t="s">
        <v>1216</v>
      </c>
      <c r="AA22" s="42" t="s">
        <v>1215</v>
      </c>
      <c r="AB22" s="13">
        <v>8.75</v>
      </c>
      <c r="AC22" s="13">
        <v>8.4</v>
      </c>
      <c r="AD22" s="13">
        <f t="shared" si="7"/>
        <v>17.149999999999999</v>
      </c>
      <c r="AE22" s="340">
        <f t="shared" si="8"/>
        <v>1</v>
      </c>
    </row>
    <row r="23" spans="8:31">
      <c r="H23" t="e">
        <f>COUNTIF(#REF!,"M")</f>
        <v>#REF!</v>
      </c>
      <c r="I23" t="e">
        <f>COUNTIF(#REF!,"F")</f>
        <v>#REF!</v>
      </c>
      <c r="J23" t="e">
        <f>COUNTIF(#REF!,"M")</f>
        <v>#REF!</v>
      </c>
      <c r="K23" t="e">
        <f>COUNTIF(#REF!,"F")</f>
        <v>#REF!</v>
      </c>
      <c r="M23" s="250"/>
      <c r="N23" s="250"/>
      <c r="O23" s="250"/>
      <c r="P23" s="250"/>
      <c r="Q23" s="250"/>
      <c r="R23" s="335"/>
      <c r="S23" s="250"/>
      <c r="Y23" s="230">
        <v>1258</v>
      </c>
      <c r="Z23" s="42" t="s">
        <v>1217</v>
      </c>
      <c r="AA23" s="42" t="s">
        <v>1215</v>
      </c>
      <c r="AB23" s="13">
        <v>8.5</v>
      </c>
      <c r="AC23" s="13">
        <v>8.4499999999999993</v>
      </c>
      <c r="AD23" s="13">
        <f t="shared" si="7"/>
        <v>16.95</v>
      </c>
      <c r="AE23" s="340">
        <f t="shared" si="8"/>
        <v>2</v>
      </c>
    </row>
    <row r="24" spans="8:31">
      <c r="H24" t="e">
        <f>IF(H23=2,SUM(H19:H22),IF(H23=3,SUM(H19:H22)-SMALL(H19:H22,1),IF(H23=4,SUM(H19:H22)-SMALL(H19:H22,1)-SMALL(H19:H22,2))))</f>
        <v>#REF!</v>
      </c>
      <c r="I24" t="e">
        <f>IF(I23=2,SUM(I19:I22),IF(I23=3,SUM(I19:I22)-SMALL(I19:I22,1),IF(I23=4,SUM(I19:I22)-SMALL(I19:I22,1)-SMALL(I19:I22,2))))</f>
        <v>#REF!</v>
      </c>
      <c r="J24" t="e">
        <f>IF(J23=2,SUM(J19:J22),IF(J23=3,SUM(J19:J22)-SMALL(J19:J22,1),IF(J23=4,SUM(J19:J22)-SMALL(J19:J22,1)-SMALL(J19:J22,2))))</f>
        <v>#REF!</v>
      </c>
      <c r="K24" t="e">
        <f>IF(K23=2,SUM(K19:K22),IF(K23=3,SUM(K19:K22)-SMALL(K19:K22,1),IF(K23=4,SUM(K19:K22)-SMALL(K19:K22,1)-SMALL(K19:K22,2))))</f>
        <v>#REF!</v>
      </c>
      <c r="M24" s="111"/>
      <c r="N24" s="111"/>
      <c r="O24" s="111"/>
      <c r="P24" s="111"/>
      <c r="Q24" s="111"/>
      <c r="R24" s="111"/>
      <c r="S24" s="111"/>
      <c r="T24" s="61">
        <f>SUM(Q26,S27)</f>
        <v>0</v>
      </c>
      <c r="U24" s="13">
        <f>SUM(S27,T24)</f>
        <v>0</v>
      </c>
      <c r="V24" s="13">
        <f>SUM(T24,U24)</f>
        <v>0</v>
      </c>
      <c r="W24" s="13">
        <f>SUM(U24,V24)</f>
        <v>0</v>
      </c>
      <c r="Y24" s="8"/>
    </row>
    <row r="25" spans="8:31">
      <c r="M25" s="152"/>
      <c r="N25" s="106"/>
      <c r="O25" s="110"/>
      <c r="P25" s="73"/>
      <c r="Q25" s="73"/>
      <c r="R25" s="73"/>
      <c r="S25" s="73"/>
      <c r="Y25" s="8"/>
    </row>
    <row r="26" spans="8:31">
      <c r="M26" s="259"/>
      <c r="N26" s="106"/>
      <c r="O26" s="110"/>
      <c r="P26" s="73"/>
      <c r="Q26" s="73"/>
      <c r="R26" s="73"/>
      <c r="S26" s="73"/>
    </row>
    <row r="27" spans="8:31">
      <c r="M27" s="259"/>
      <c r="N27" s="1"/>
      <c r="O27" s="1"/>
      <c r="P27" s="73"/>
      <c r="Q27" s="73"/>
      <c r="R27" s="73"/>
      <c r="S27" s="73"/>
    </row>
    <row r="28" spans="8:31">
      <c r="M28" s="259"/>
      <c r="N28" s="1"/>
      <c r="O28" s="1"/>
      <c r="P28" s="73"/>
      <c r="Q28" s="73"/>
      <c r="R28" s="73"/>
      <c r="S28" s="73"/>
    </row>
    <row r="38" spans="1:7">
      <c r="A38" s="250"/>
      <c r="B38" s="250"/>
      <c r="C38" s="250"/>
      <c r="D38" s="250"/>
      <c r="E38" s="250"/>
      <c r="F38" s="335"/>
      <c r="G38" s="250"/>
    </row>
    <row r="39" spans="1:7">
      <c r="A39" s="111"/>
      <c r="B39" s="111"/>
      <c r="C39" s="111"/>
      <c r="D39" s="111"/>
      <c r="E39" s="111"/>
      <c r="F39" s="111"/>
      <c r="G39" s="111"/>
    </row>
    <row r="40" spans="1:7">
      <c r="A40" s="152"/>
      <c r="B40" s="106"/>
      <c r="C40" s="1"/>
      <c r="D40" s="73"/>
      <c r="E40" s="73"/>
      <c r="F40" s="73"/>
      <c r="G40" s="73"/>
    </row>
    <row r="41" spans="1:7">
      <c r="A41" s="1"/>
      <c r="B41" s="1"/>
      <c r="C41" s="1"/>
      <c r="D41" s="1"/>
      <c r="E41" s="1"/>
      <c r="F41" s="264"/>
      <c r="G41" s="1"/>
    </row>
  </sheetData>
  <mergeCells count="3">
    <mergeCell ref="A1:AE1"/>
    <mergeCell ref="A2:AE2"/>
    <mergeCell ref="M4:P4"/>
  </mergeCells>
  <phoneticPr fontId="21" type="noConversion"/>
  <conditionalFormatting sqref="G8:G9">
    <cfRule type="cellIs" dxfId="277" priority="16" operator="equal">
      <formula>3</formula>
    </cfRule>
    <cfRule type="cellIs" dxfId="276" priority="17" operator="equal">
      <formula>2</formula>
    </cfRule>
    <cfRule type="cellIs" dxfId="275" priority="18" operator="equal">
      <formula>1</formula>
    </cfRule>
  </conditionalFormatting>
  <conditionalFormatting sqref="S8:S10">
    <cfRule type="cellIs" dxfId="274" priority="13" operator="equal">
      <formula>3</formula>
    </cfRule>
    <cfRule type="cellIs" dxfId="273" priority="14" operator="equal">
      <formula>2</formula>
    </cfRule>
    <cfRule type="cellIs" dxfId="272" priority="15" operator="equal">
      <formula>1</formula>
    </cfRule>
  </conditionalFormatting>
  <conditionalFormatting sqref="S14:S16">
    <cfRule type="cellIs" dxfId="271" priority="10" operator="equal">
      <formula>3</formula>
    </cfRule>
    <cfRule type="cellIs" dxfId="270" priority="11" operator="equal">
      <formula>2</formula>
    </cfRule>
    <cfRule type="cellIs" dxfId="269" priority="12" operator="equal">
      <formula>1</formula>
    </cfRule>
  </conditionalFormatting>
  <conditionalFormatting sqref="AE8:AI8 AE9:AE10">
    <cfRule type="cellIs" dxfId="268" priority="7" operator="equal">
      <formula>3</formula>
    </cfRule>
    <cfRule type="cellIs" dxfId="267" priority="8" operator="equal">
      <formula>2</formula>
    </cfRule>
    <cfRule type="cellIs" dxfId="266" priority="9" operator="equal">
      <formula>1</formula>
    </cfRule>
  </conditionalFormatting>
  <conditionalFormatting sqref="AE14">
    <cfRule type="cellIs" dxfId="265" priority="4" operator="equal">
      <formula>3</formula>
    </cfRule>
    <cfRule type="cellIs" dxfId="264" priority="5" operator="equal">
      <formula>2</formula>
    </cfRule>
    <cfRule type="cellIs" dxfId="263" priority="6" operator="equal">
      <formula>1</formula>
    </cfRule>
  </conditionalFormatting>
  <conditionalFormatting sqref="AE18:AE23">
    <cfRule type="cellIs" dxfId="262" priority="1" operator="equal">
      <formula>3</formula>
    </cfRule>
    <cfRule type="cellIs" dxfId="261" priority="2" operator="equal">
      <formula>2</formula>
    </cfRule>
    <cfRule type="cellIs" dxfId="260" priority="3" operator="equal">
      <formula>1</formula>
    </cfRule>
  </conditionalFormatting>
  <pageMargins left="0.7" right="0.7" top="0.75" bottom="0.75" header="0.3" footer="0.3"/>
  <pageSetup paperSize="9" scale="53" orientation="landscape" horizontalDpi="4294967292" verticalDpi="4294967292"/>
  <colBreaks count="1" manualBreakCount="1">
    <brk id="37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AY56"/>
  <sheetViews>
    <sheetView workbookViewId="0"/>
  </sheetViews>
  <sheetFormatPr defaultColWidth="11" defaultRowHeight="15.75"/>
  <cols>
    <col min="1" max="1" width="29" bestFit="1" customWidth="1"/>
    <col min="2" max="2" width="8.5" customWidth="1"/>
    <col min="3" max="3" width="4.5" customWidth="1"/>
    <col min="4" max="4" width="3.375" customWidth="1"/>
    <col min="5" max="5" width="22.875" bestFit="1" customWidth="1"/>
    <col min="6" max="6" width="11.625" style="192" customWidth="1"/>
    <col min="7" max="7" width="3.875" customWidth="1"/>
    <col min="8" max="8" width="20.625" customWidth="1"/>
    <col min="9" max="9" width="13.625" style="192" customWidth="1"/>
    <col min="10" max="10" width="4.5" customWidth="1"/>
    <col min="11" max="11" width="22.5" bestFit="1" customWidth="1"/>
    <col min="12" max="12" width="11.125" style="192" customWidth="1"/>
    <col min="13" max="13" width="4" customWidth="1"/>
    <col min="14" max="14" width="20.125" bestFit="1" customWidth="1"/>
    <col min="15" max="15" width="12.875" style="192" bestFit="1" customWidth="1"/>
    <col min="16" max="16" width="3.625" customWidth="1"/>
    <col min="17" max="17" width="30" bestFit="1" customWidth="1"/>
    <col min="18" max="18" width="12.875" style="192" bestFit="1" customWidth="1"/>
    <col min="19" max="19" width="4" customWidth="1"/>
    <col min="20" max="20" width="28" bestFit="1" customWidth="1"/>
    <col min="21" max="21" width="12.875" style="192" bestFit="1" customWidth="1"/>
    <col min="22" max="22" width="4" customWidth="1"/>
    <col min="23" max="23" width="19.375" customWidth="1"/>
    <col min="24" max="24" width="12.875" style="192" bestFit="1" customWidth="1"/>
    <col min="25" max="25" width="4.5" customWidth="1"/>
    <col min="26" max="26" width="20.125" bestFit="1" customWidth="1"/>
    <col min="27" max="27" width="12.875" style="192" bestFit="1" customWidth="1"/>
    <col min="28" max="28" width="4.625" customWidth="1"/>
    <col min="29" max="29" width="20.125" bestFit="1" customWidth="1"/>
    <col min="30" max="30" width="12.875" style="192" bestFit="1" customWidth="1"/>
    <col min="31" max="31" width="4.875" customWidth="1"/>
    <col min="32" max="32" width="17.875" bestFit="1" customWidth="1"/>
    <col min="33" max="33" width="12.875" style="192" bestFit="1" customWidth="1"/>
    <col min="34" max="34" width="4" customWidth="1"/>
    <col min="35" max="35" width="20.125" bestFit="1" customWidth="1"/>
    <col min="37" max="37" width="2.625" customWidth="1"/>
    <col min="38" max="38" width="20.125" bestFit="1" customWidth="1"/>
    <col min="40" max="40" width="3" customWidth="1"/>
    <col min="41" max="41" width="20.125" bestFit="1" customWidth="1"/>
    <col min="43" max="43" width="2.875" customWidth="1"/>
    <col min="44" max="44" width="20.125" bestFit="1" customWidth="1"/>
    <col min="46" max="46" width="3" customWidth="1"/>
    <col min="47" max="47" width="20.125" bestFit="1" customWidth="1"/>
    <col min="49" max="49" width="3.125" customWidth="1"/>
    <col min="50" max="50" width="20.875" bestFit="1" customWidth="1"/>
  </cols>
  <sheetData>
    <row r="1" spans="1:51" ht="26.25">
      <c r="A1" s="193" t="s">
        <v>569</v>
      </c>
      <c r="B1" s="197"/>
      <c r="C1" s="197"/>
      <c r="D1" s="197"/>
      <c r="E1" s="193" t="s">
        <v>565</v>
      </c>
      <c r="F1" s="197">
        <f>SUM(F3:F12)</f>
        <v>169.7</v>
      </c>
      <c r="G1" s="8"/>
      <c r="H1" s="193" t="s">
        <v>1373</v>
      </c>
      <c r="I1" s="197">
        <f>SUM(I3:I12)</f>
        <v>145.85000000000002</v>
      </c>
      <c r="J1" s="8"/>
      <c r="K1" s="193" t="s">
        <v>1374</v>
      </c>
      <c r="L1" s="197">
        <f>SUM(L3:L12)</f>
        <v>150.59999999999997</v>
      </c>
      <c r="M1" s="8"/>
      <c r="N1" s="193" t="s">
        <v>564</v>
      </c>
      <c r="O1" s="197">
        <f>SUM(O3:O12)</f>
        <v>165.9</v>
      </c>
      <c r="P1" s="8"/>
      <c r="Q1" s="193" t="s">
        <v>1375</v>
      </c>
      <c r="R1" s="197">
        <f>SUM(R3:R12)</f>
        <v>154.15</v>
      </c>
      <c r="S1" s="8"/>
      <c r="T1" s="193" t="s">
        <v>535</v>
      </c>
      <c r="U1" s="197">
        <f>SUM(U3:U12)</f>
        <v>156.95000000000002</v>
      </c>
      <c r="V1" s="8"/>
      <c r="W1" s="193" t="s">
        <v>566</v>
      </c>
      <c r="X1" s="197">
        <f>SUM(X3:X12)</f>
        <v>162.93</v>
      </c>
      <c r="Y1" s="8"/>
      <c r="Z1" s="193" t="s">
        <v>222</v>
      </c>
      <c r="AA1" s="197">
        <f>SUM(AA3:AA12)</f>
        <v>170.3</v>
      </c>
      <c r="AB1" s="8"/>
      <c r="AC1" s="193" t="s">
        <v>1376</v>
      </c>
      <c r="AD1" s="197">
        <f>SUM(AD3:AD13)</f>
        <v>168.45</v>
      </c>
      <c r="AE1" s="8"/>
      <c r="AF1" s="193" t="s">
        <v>99</v>
      </c>
      <c r="AG1" s="197">
        <f>SUM(AG3:AG12)</f>
        <v>163.33000000000001</v>
      </c>
      <c r="AH1" s="8"/>
      <c r="AI1" s="193" t="s">
        <v>568</v>
      </c>
      <c r="AJ1" s="197">
        <f>SUM(AJ3:AJ12)</f>
        <v>157.5</v>
      </c>
      <c r="AK1" s="8"/>
      <c r="AL1" s="193" t="s">
        <v>574</v>
      </c>
      <c r="AM1" s="197">
        <f>SUM(AM3:AM12)</f>
        <v>152.4</v>
      </c>
      <c r="AN1" s="8"/>
      <c r="AO1" s="193" t="s">
        <v>562</v>
      </c>
      <c r="AP1" s="197">
        <f>SUM(AP3:AP12)</f>
        <v>161.94999999999999</v>
      </c>
      <c r="AR1" s="193" t="s">
        <v>454</v>
      </c>
      <c r="AS1" s="197">
        <f>SUM(AS3:AS12)</f>
        <v>127.64999999999999</v>
      </c>
      <c r="AU1" s="193" t="s">
        <v>1378</v>
      </c>
      <c r="AV1" s="197">
        <f>SUM(AV3:AV12)</f>
        <v>163</v>
      </c>
      <c r="AX1" s="193" t="s">
        <v>557</v>
      </c>
      <c r="AY1" s="197">
        <f>SUM(AY3:AY12)</f>
        <v>158.30000000000001</v>
      </c>
    </row>
    <row r="2" spans="1:51" ht="18.75">
      <c r="A2" s="200" t="s">
        <v>12</v>
      </c>
      <c r="B2" s="200" t="s">
        <v>570</v>
      </c>
      <c r="C2" s="201" t="s">
        <v>11</v>
      </c>
      <c r="D2" s="195"/>
      <c r="E2" s="195" t="s">
        <v>567</v>
      </c>
      <c r="F2" s="196" t="s">
        <v>5</v>
      </c>
      <c r="G2" s="8"/>
      <c r="H2" s="195" t="s">
        <v>567</v>
      </c>
      <c r="I2" s="196" t="s">
        <v>5</v>
      </c>
      <c r="J2" s="8"/>
      <c r="K2" s="195" t="s">
        <v>567</v>
      </c>
      <c r="L2" s="196" t="s">
        <v>5</v>
      </c>
      <c r="M2" s="8"/>
      <c r="N2" s="195" t="s">
        <v>567</v>
      </c>
      <c r="O2" s="196" t="s">
        <v>5</v>
      </c>
      <c r="P2" s="8"/>
      <c r="Q2" s="195" t="s">
        <v>567</v>
      </c>
      <c r="R2" s="196" t="s">
        <v>5</v>
      </c>
      <c r="S2" s="8"/>
      <c r="T2" s="195" t="s">
        <v>567</v>
      </c>
      <c r="U2" s="196" t="s">
        <v>5</v>
      </c>
      <c r="V2" s="8"/>
      <c r="W2" s="195" t="s">
        <v>567</v>
      </c>
      <c r="X2" s="196" t="s">
        <v>5</v>
      </c>
      <c r="Y2" s="8"/>
      <c r="Z2" s="195" t="s">
        <v>567</v>
      </c>
      <c r="AA2" s="196" t="s">
        <v>5</v>
      </c>
      <c r="AB2" s="8"/>
      <c r="AC2" s="195" t="s">
        <v>567</v>
      </c>
      <c r="AD2" s="196" t="s">
        <v>5</v>
      </c>
      <c r="AE2" s="8"/>
      <c r="AF2" s="195" t="s">
        <v>567</v>
      </c>
      <c r="AG2" s="196" t="s">
        <v>5</v>
      </c>
      <c r="AH2" s="8"/>
      <c r="AI2" s="195" t="s">
        <v>567</v>
      </c>
      <c r="AJ2" s="196" t="s">
        <v>5</v>
      </c>
      <c r="AK2" s="8"/>
      <c r="AL2" s="195" t="s">
        <v>567</v>
      </c>
      <c r="AM2" s="196" t="s">
        <v>5</v>
      </c>
      <c r="AN2" s="8"/>
      <c r="AO2" s="195" t="s">
        <v>567</v>
      </c>
      <c r="AP2" s="196" t="s">
        <v>5</v>
      </c>
      <c r="AR2" s="195" t="s">
        <v>567</v>
      </c>
      <c r="AS2" s="196" t="s">
        <v>5</v>
      </c>
      <c r="AU2" s="195" t="s">
        <v>567</v>
      </c>
      <c r="AV2" s="196" t="s">
        <v>5</v>
      </c>
      <c r="AX2" s="195" t="s">
        <v>567</v>
      </c>
      <c r="AY2" s="196" t="s">
        <v>5</v>
      </c>
    </row>
    <row r="3" spans="1:51" ht="18.75">
      <c r="A3" s="202" t="s">
        <v>565</v>
      </c>
      <c r="B3" s="203">
        <f>F1</f>
        <v>169.7</v>
      </c>
      <c r="C3" s="40">
        <f t="shared" ref="C3:C17" si="0">SUMPRODUCT((B$3:B$17&gt;B3)/COUNTIF(B$3:B$17,B$3:B$17&amp;""))+1</f>
        <v>2</v>
      </c>
      <c r="D3" s="46"/>
      <c r="E3" s="95" t="s">
        <v>266</v>
      </c>
      <c r="F3" s="68">
        <v>17.45</v>
      </c>
      <c r="G3" s="8"/>
      <c r="H3" s="361" t="s">
        <v>589</v>
      </c>
      <c r="I3" s="384">
        <v>16.55</v>
      </c>
      <c r="J3" s="8"/>
      <c r="K3" s="416" t="s">
        <v>602</v>
      </c>
      <c r="L3" s="384">
        <v>16.850000000000001</v>
      </c>
      <c r="M3" s="8"/>
      <c r="N3" s="93" t="s">
        <v>231</v>
      </c>
      <c r="O3" s="384">
        <v>17.25</v>
      </c>
      <c r="P3" s="8"/>
      <c r="Q3" s="95" t="s">
        <v>760</v>
      </c>
      <c r="R3" s="68">
        <v>17</v>
      </c>
      <c r="S3" s="8"/>
      <c r="T3" s="95" t="s">
        <v>308</v>
      </c>
      <c r="U3" s="384">
        <v>16.600000000000001</v>
      </c>
      <c r="V3" s="8"/>
      <c r="W3" s="93" t="s">
        <v>342</v>
      </c>
      <c r="X3" s="384">
        <v>17.2</v>
      </c>
      <c r="Y3" s="8"/>
      <c r="Z3" s="93" t="s">
        <v>1336</v>
      </c>
      <c r="AA3" s="68">
        <v>18.350000000000001</v>
      </c>
      <c r="AB3" s="8"/>
      <c r="AC3" s="16" t="s">
        <v>858</v>
      </c>
      <c r="AD3" s="384">
        <v>16.100000000000001</v>
      </c>
      <c r="AE3" s="8"/>
      <c r="AF3" s="100" t="s">
        <v>868</v>
      </c>
      <c r="AG3" s="68">
        <v>17.2</v>
      </c>
      <c r="AH3" s="8"/>
      <c r="AI3" s="281" t="s">
        <v>899</v>
      </c>
      <c r="AJ3" s="384">
        <v>16.45</v>
      </c>
      <c r="AK3" s="8"/>
      <c r="AL3" s="100" t="s">
        <v>946</v>
      </c>
      <c r="AM3" s="384">
        <v>16.100000000000001</v>
      </c>
      <c r="AN3" s="8"/>
      <c r="AO3" s="100" t="s">
        <v>41</v>
      </c>
      <c r="AP3" s="384">
        <v>17.200000000000003</v>
      </c>
      <c r="AR3" s="108" t="s">
        <v>1094</v>
      </c>
      <c r="AS3" s="68">
        <v>13.25</v>
      </c>
      <c r="AU3" s="93" t="s">
        <v>924</v>
      </c>
      <c r="AV3" s="384">
        <v>17.2</v>
      </c>
      <c r="AX3" s="108" t="s">
        <v>720</v>
      </c>
      <c r="AY3" s="384">
        <v>16.149999999999999</v>
      </c>
    </row>
    <row r="4" spans="1:51" ht="18.75">
      <c r="A4" s="202" t="s">
        <v>1373</v>
      </c>
      <c r="B4" s="203">
        <f>I1</f>
        <v>145.85000000000002</v>
      </c>
      <c r="C4" s="40">
        <f t="shared" si="0"/>
        <v>14</v>
      </c>
      <c r="D4" s="46"/>
      <c r="E4" s="95" t="s">
        <v>259</v>
      </c>
      <c r="F4" s="68">
        <v>17.399999999999999</v>
      </c>
      <c r="G4" s="8"/>
      <c r="H4" s="95" t="s">
        <v>588</v>
      </c>
      <c r="I4" s="384">
        <v>16.45</v>
      </c>
      <c r="J4" s="8"/>
      <c r="K4" s="16" t="s">
        <v>601</v>
      </c>
      <c r="L4" s="384">
        <v>16.45</v>
      </c>
      <c r="M4" s="8"/>
      <c r="N4" s="93" t="s">
        <v>237</v>
      </c>
      <c r="O4" s="384">
        <v>17.049999999999997</v>
      </c>
      <c r="P4" s="8"/>
      <c r="Q4" s="95" t="s">
        <v>754</v>
      </c>
      <c r="R4" s="68">
        <v>15.799999999999999</v>
      </c>
      <c r="S4" s="8"/>
      <c r="T4" s="93" t="s">
        <v>782</v>
      </c>
      <c r="U4" s="384">
        <v>16.350000000000001</v>
      </c>
      <c r="V4" s="8"/>
      <c r="W4" s="93" t="s">
        <v>334</v>
      </c>
      <c r="X4" s="384">
        <v>16.95</v>
      </c>
      <c r="Y4" s="8"/>
      <c r="Z4" s="93" t="s">
        <v>830</v>
      </c>
      <c r="AA4" s="68">
        <v>17.600000000000001</v>
      </c>
      <c r="AB4" s="8"/>
      <c r="AC4" s="16" t="s">
        <v>855</v>
      </c>
      <c r="AD4" s="384">
        <v>16.100000000000001</v>
      </c>
      <c r="AE4" s="8"/>
      <c r="AF4" s="100" t="s">
        <v>866</v>
      </c>
      <c r="AG4" s="68">
        <v>17.100000000000001</v>
      </c>
      <c r="AH4" s="8"/>
      <c r="AI4" s="100" t="s">
        <v>892</v>
      </c>
      <c r="AJ4" s="384">
        <v>16.149999999999999</v>
      </c>
      <c r="AK4" s="8"/>
      <c r="AL4" s="281" t="s">
        <v>947</v>
      </c>
      <c r="AM4" s="384">
        <v>15.850000000000001</v>
      </c>
      <c r="AN4" s="8"/>
      <c r="AO4" s="100" t="s">
        <v>395</v>
      </c>
      <c r="AP4" s="384">
        <v>16.850000000000001</v>
      </c>
      <c r="AR4" s="108" t="s">
        <v>458</v>
      </c>
      <c r="AS4" s="68">
        <v>13.15</v>
      </c>
      <c r="AU4" s="93" t="s">
        <v>920</v>
      </c>
      <c r="AV4" s="384">
        <v>16.799999999999997</v>
      </c>
      <c r="AX4" s="95" t="s">
        <v>449</v>
      </c>
      <c r="AY4" s="384">
        <v>16.100000000000001</v>
      </c>
    </row>
    <row r="5" spans="1:51" ht="18.75">
      <c r="A5" s="202" t="s">
        <v>1374</v>
      </c>
      <c r="B5" s="203">
        <f>L1</f>
        <v>150.59999999999997</v>
      </c>
      <c r="C5" s="40">
        <f t="shared" si="0"/>
        <v>13</v>
      </c>
      <c r="D5" s="46"/>
      <c r="E5" s="93" t="s">
        <v>40</v>
      </c>
      <c r="F5" s="68">
        <v>17.25</v>
      </c>
      <c r="G5" s="8"/>
      <c r="H5" s="95" t="s">
        <v>587</v>
      </c>
      <c r="I5" s="384">
        <v>16.399999999999999</v>
      </c>
      <c r="J5" s="8"/>
      <c r="K5" s="108" t="s">
        <v>604</v>
      </c>
      <c r="L5" s="384">
        <v>15.45</v>
      </c>
      <c r="M5" s="8"/>
      <c r="N5" s="93" t="s">
        <v>239</v>
      </c>
      <c r="O5" s="384">
        <v>17</v>
      </c>
      <c r="P5" s="8"/>
      <c r="Q5" s="95" t="s">
        <v>753</v>
      </c>
      <c r="R5" s="68">
        <v>15.75</v>
      </c>
      <c r="S5" s="8"/>
      <c r="T5" s="93" t="s">
        <v>778</v>
      </c>
      <c r="U5" s="384">
        <v>16.2</v>
      </c>
      <c r="V5" s="8"/>
      <c r="W5" s="93" t="s">
        <v>808</v>
      </c>
      <c r="X5" s="68">
        <v>16.75</v>
      </c>
      <c r="Y5" s="8"/>
      <c r="Z5" s="95" t="s">
        <v>832</v>
      </c>
      <c r="AA5" s="68">
        <v>17.100000000000001</v>
      </c>
      <c r="AB5" s="8"/>
      <c r="AC5" s="100" t="s">
        <v>852</v>
      </c>
      <c r="AD5" s="384">
        <v>15.7</v>
      </c>
      <c r="AE5" s="8"/>
      <c r="AF5" s="93" t="s">
        <v>869</v>
      </c>
      <c r="AG5" s="68">
        <v>16.7</v>
      </c>
      <c r="AH5" s="8"/>
      <c r="AI5" s="93" t="s">
        <v>904</v>
      </c>
      <c r="AJ5" s="384">
        <v>16</v>
      </c>
      <c r="AK5" s="8"/>
      <c r="AL5" s="108" t="s">
        <v>951</v>
      </c>
      <c r="AM5" s="384">
        <v>15.850000000000001</v>
      </c>
      <c r="AN5" s="8"/>
      <c r="AO5" s="93" t="s">
        <v>145</v>
      </c>
      <c r="AP5" s="384">
        <v>16.55</v>
      </c>
      <c r="AR5" s="423" t="s">
        <v>1363</v>
      </c>
      <c r="AS5" s="68">
        <v>12.9</v>
      </c>
      <c r="AU5" s="100" t="s">
        <v>922</v>
      </c>
      <c r="AV5" s="384">
        <v>16.75</v>
      </c>
      <c r="AX5" s="95" t="s">
        <v>721</v>
      </c>
      <c r="AY5" s="384">
        <v>16.05</v>
      </c>
    </row>
    <row r="6" spans="1:51" ht="18.75">
      <c r="A6" s="202" t="s">
        <v>571</v>
      </c>
      <c r="B6" s="203">
        <f>O1</f>
        <v>165.9</v>
      </c>
      <c r="C6" s="40">
        <f t="shared" si="0"/>
        <v>4</v>
      </c>
      <c r="D6" s="46"/>
      <c r="E6" s="95" t="s">
        <v>253</v>
      </c>
      <c r="F6" s="68">
        <v>17.2</v>
      </c>
      <c r="G6" s="8"/>
      <c r="H6" s="95" t="s">
        <v>580</v>
      </c>
      <c r="I6" s="384">
        <v>16.399999999999999</v>
      </c>
      <c r="J6" s="8"/>
      <c r="K6" s="95" t="s">
        <v>600</v>
      </c>
      <c r="L6" s="384">
        <v>15.35</v>
      </c>
      <c r="M6" s="8"/>
      <c r="N6" s="93" t="s">
        <v>236</v>
      </c>
      <c r="O6" s="384">
        <v>16.899999999999999</v>
      </c>
      <c r="P6" s="8"/>
      <c r="Q6" s="365" t="s">
        <v>1301</v>
      </c>
      <c r="R6" s="68">
        <v>15.75</v>
      </c>
      <c r="S6" s="8"/>
      <c r="T6" s="286" t="s">
        <v>309</v>
      </c>
      <c r="U6" s="384">
        <v>16.149999999999999</v>
      </c>
      <c r="V6" s="8"/>
      <c r="W6" s="93" t="s">
        <v>330</v>
      </c>
      <c r="X6" s="384">
        <v>16.450000000000003</v>
      </c>
      <c r="Y6" s="8"/>
      <c r="Z6" s="95" t="s">
        <v>833</v>
      </c>
      <c r="AA6" s="68">
        <v>17.05</v>
      </c>
      <c r="AB6" s="8"/>
      <c r="AC6" s="93" t="s">
        <v>849</v>
      </c>
      <c r="AD6" s="384">
        <v>15.45</v>
      </c>
      <c r="AE6" s="8"/>
      <c r="AF6" s="95" t="s">
        <v>863</v>
      </c>
      <c r="AG6" s="384">
        <v>16.28</v>
      </c>
      <c r="AH6" s="8"/>
      <c r="AI6" s="93" t="s">
        <v>371</v>
      </c>
      <c r="AJ6" s="384">
        <v>15.95</v>
      </c>
      <c r="AK6" s="8"/>
      <c r="AL6" s="100" t="s">
        <v>373</v>
      </c>
      <c r="AM6" s="384">
        <v>15.5</v>
      </c>
      <c r="AN6" s="8"/>
      <c r="AO6" s="93" t="s">
        <v>1012</v>
      </c>
      <c r="AP6" s="384">
        <v>16.3</v>
      </c>
      <c r="AR6" s="95" t="s">
        <v>1346</v>
      </c>
      <c r="AS6" s="384">
        <v>12.7</v>
      </c>
      <c r="AU6" s="108" t="s">
        <v>928</v>
      </c>
      <c r="AV6" s="384">
        <v>16.450000000000003</v>
      </c>
      <c r="AX6" s="93" t="s">
        <v>1296</v>
      </c>
      <c r="AY6" s="384">
        <v>16</v>
      </c>
    </row>
    <row r="7" spans="1:51" ht="18.75">
      <c r="A7" s="202" t="s">
        <v>535</v>
      </c>
      <c r="B7" s="203">
        <f>U1</f>
        <v>156.95000000000002</v>
      </c>
      <c r="C7" s="40">
        <f t="shared" si="0"/>
        <v>11</v>
      </c>
      <c r="D7" s="46"/>
      <c r="E7" s="108" t="s">
        <v>264</v>
      </c>
      <c r="F7" s="68">
        <v>17.149999999999999</v>
      </c>
      <c r="G7" s="8"/>
      <c r="H7" s="95" t="s">
        <v>585</v>
      </c>
      <c r="I7" s="384">
        <v>16.350000000000001</v>
      </c>
      <c r="J7" s="8"/>
      <c r="K7" s="95" t="s">
        <v>609</v>
      </c>
      <c r="L7" s="384">
        <v>14.75</v>
      </c>
      <c r="M7" s="8"/>
      <c r="N7" s="93" t="s">
        <v>238</v>
      </c>
      <c r="O7" s="384">
        <v>16.649999999999999</v>
      </c>
      <c r="P7" s="8"/>
      <c r="Q7" s="95" t="s">
        <v>755</v>
      </c>
      <c r="R7" s="68">
        <v>15.35</v>
      </c>
      <c r="S7" s="8"/>
      <c r="T7" s="108" t="s">
        <v>787</v>
      </c>
      <c r="U7" s="384">
        <v>16.100000000000001</v>
      </c>
      <c r="V7" s="8"/>
      <c r="W7" s="95" t="s">
        <v>803</v>
      </c>
      <c r="X7" s="68">
        <v>16.079999999999998</v>
      </c>
      <c r="Y7" s="8"/>
      <c r="Z7" s="420" t="s">
        <v>829</v>
      </c>
      <c r="AA7" s="68">
        <v>16.850000000000001</v>
      </c>
      <c r="AB7" s="8"/>
      <c r="AC7" s="107" t="s">
        <v>853</v>
      </c>
      <c r="AD7" s="384">
        <v>15.35</v>
      </c>
      <c r="AE7" s="8"/>
      <c r="AF7" s="417" t="s">
        <v>865</v>
      </c>
      <c r="AG7" s="68">
        <v>16.200000000000003</v>
      </c>
      <c r="AH7" s="8"/>
      <c r="AI7" s="93" t="s">
        <v>903</v>
      </c>
      <c r="AJ7" s="384">
        <v>15.75</v>
      </c>
      <c r="AK7" s="8"/>
      <c r="AL7" s="95" t="s">
        <v>949</v>
      </c>
      <c r="AM7" s="384">
        <v>15.25</v>
      </c>
      <c r="AN7" s="8"/>
      <c r="AO7" s="93" t="s">
        <v>394</v>
      </c>
      <c r="AP7" s="384">
        <v>16.25</v>
      </c>
      <c r="AR7" s="95" t="s">
        <v>1090</v>
      </c>
      <c r="AS7" s="68">
        <v>12.65</v>
      </c>
      <c r="AU7" s="93" t="s">
        <v>918</v>
      </c>
      <c r="AV7" s="384">
        <v>16.399999999999999</v>
      </c>
      <c r="AX7" s="95" t="s">
        <v>717</v>
      </c>
      <c r="AY7" s="384">
        <v>15.75</v>
      </c>
    </row>
    <row r="8" spans="1:51" ht="18.75">
      <c r="A8" s="202" t="s">
        <v>566</v>
      </c>
      <c r="B8" s="203">
        <f>X1</f>
        <v>162.93</v>
      </c>
      <c r="C8" s="40">
        <f t="shared" si="0"/>
        <v>7</v>
      </c>
      <c r="D8" s="46"/>
      <c r="E8" s="100" t="s">
        <v>146</v>
      </c>
      <c r="F8" s="68">
        <v>17.149999999999999</v>
      </c>
      <c r="G8" s="8"/>
      <c r="H8" s="95" t="s">
        <v>226</v>
      </c>
      <c r="I8" s="384">
        <v>16.25</v>
      </c>
      <c r="J8" s="8"/>
      <c r="K8" s="95" t="s">
        <v>611</v>
      </c>
      <c r="L8" s="384">
        <v>14.7</v>
      </c>
      <c r="M8" s="8"/>
      <c r="N8" s="95" t="s">
        <v>244</v>
      </c>
      <c r="O8" s="68">
        <v>16.55</v>
      </c>
      <c r="P8" s="8"/>
      <c r="Q8" s="418" t="s">
        <v>759</v>
      </c>
      <c r="R8" s="384">
        <v>15</v>
      </c>
      <c r="S8" s="8"/>
      <c r="T8" s="93" t="s">
        <v>779</v>
      </c>
      <c r="U8" s="384">
        <v>15.95</v>
      </c>
      <c r="V8" s="8"/>
      <c r="W8" s="93" t="s">
        <v>324</v>
      </c>
      <c r="X8" s="384">
        <v>15.950000000000001</v>
      </c>
      <c r="Y8" s="8"/>
      <c r="Z8" s="100" t="s">
        <v>831</v>
      </c>
      <c r="AA8" s="68">
        <v>16.850000000000001</v>
      </c>
      <c r="AB8" s="8"/>
      <c r="AC8" s="108" t="s">
        <v>1335</v>
      </c>
      <c r="AD8" s="68">
        <v>15.25</v>
      </c>
      <c r="AE8" s="8"/>
      <c r="AF8" s="93" t="s">
        <v>867</v>
      </c>
      <c r="AG8" s="68">
        <v>16.149999999999999</v>
      </c>
      <c r="AH8" s="8"/>
      <c r="AI8" s="100" t="s">
        <v>888</v>
      </c>
      <c r="AJ8" s="384">
        <v>15.600000000000001</v>
      </c>
      <c r="AK8" s="8"/>
      <c r="AL8" s="93" t="s">
        <v>944</v>
      </c>
      <c r="AM8" s="384">
        <v>15.1</v>
      </c>
      <c r="AN8" s="8"/>
      <c r="AO8" s="421" t="s">
        <v>1014</v>
      </c>
      <c r="AP8" s="384">
        <v>16.100000000000001</v>
      </c>
      <c r="AR8" s="108" t="s">
        <v>460</v>
      </c>
      <c r="AS8" s="68">
        <v>12.65</v>
      </c>
      <c r="AU8" s="95" t="s">
        <v>916</v>
      </c>
      <c r="AV8" s="384">
        <v>16.149999999999999</v>
      </c>
      <c r="AX8" s="95" t="s">
        <v>286</v>
      </c>
      <c r="AY8" s="384">
        <v>15.75</v>
      </c>
    </row>
    <row r="9" spans="1:51" ht="18.75">
      <c r="A9" s="202" t="s">
        <v>222</v>
      </c>
      <c r="B9" s="203">
        <f>AA1</f>
        <v>170.3</v>
      </c>
      <c r="C9" s="40">
        <f t="shared" si="0"/>
        <v>1</v>
      </c>
      <c r="D9" s="46"/>
      <c r="E9" s="95" t="s">
        <v>666</v>
      </c>
      <c r="F9" s="68">
        <v>16.649999999999999</v>
      </c>
      <c r="G9" s="8"/>
      <c r="H9" s="95" t="s">
        <v>586</v>
      </c>
      <c r="I9" s="384">
        <v>16.200000000000003</v>
      </c>
      <c r="J9" s="8"/>
      <c r="K9" s="95" t="s">
        <v>608</v>
      </c>
      <c r="L9" s="384">
        <v>14.55</v>
      </c>
      <c r="M9" s="8"/>
      <c r="N9" s="95" t="s">
        <v>232</v>
      </c>
      <c r="O9" s="68">
        <v>16.2</v>
      </c>
      <c r="P9" s="8"/>
      <c r="Q9" s="418" t="s">
        <v>762</v>
      </c>
      <c r="R9" s="384">
        <v>14.95</v>
      </c>
      <c r="S9" s="8"/>
      <c r="T9" s="95" t="s">
        <v>785</v>
      </c>
      <c r="U9" s="384">
        <v>15.2</v>
      </c>
      <c r="V9" s="8"/>
      <c r="W9" s="93" t="s">
        <v>333</v>
      </c>
      <c r="X9" s="384">
        <v>15.9</v>
      </c>
      <c r="Y9" s="8"/>
      <c r="Z9" s="93" t="s">
        <v>159</v>
      </c>
      <c r="AA9" s="384">
        <v>16.8</v>
      </c>
      <c r="AB9" s="8"/>
      <c r="AC9" s="16" t="s">
        <v>851</v>
      </c>
      <c r="AD9" s="384">
        <v>15.2</v>
      </c>
      <c r="AE9" s="8"/>
      <c r="AF9" s="95" t="s">
        <v>873</v>
      </c>
      <c r="AG9" s="384">
        <v>16.100000000000001</v>
      </c>
      <c r="AH9" s="8"/>
      <c r="AI9" s="100" t="s">
        <v>370</v>
      </c>
      <c r="AJ9" s="384">
        <v>15.55</v>
      </c>
      <c r="AK9" s="8"/>
      <c r="AL9" s="421" t="s">
        <v>948</v>
      </c>
      <c r="AM9" s="384">
        <v>14.95</v>
      </c>
      <c r="AN9" s="8"/>
      <c r="AO9" s="95" t="s">
        <v>1016</v>
      </c>
      <c r="AP9" s="384">
        <v>16.049999999999997</v>
      </c>
      <c r="AR9" s="108" t="s">
        <v>456</v>
      </c>
      <c r="AS9" s="68">
        <v>12.6</v>
      </c>
      <c r="AU9" s="95" t="s">
        <v>927</v>
      </c>
      <c r="AV9" s="384">
        <v>15.950000000000001</v>
      </c>
      <c r="AX9" s="93" t="s">
        <v>284</v>
      </c>
      <c r="AY9" s="384">
        <v>15.75</v>
      </c>
    </row>
    <row r="10" spans="1:51" ht="18.75">
      <c r="A10" s="202" t="s">
        <v>1377</v>
      </c>
      <c r="B10" s="203">
        <f>AD1</f>
        <v>168.45</v>
      </c>
      <c r="C10" s="40">
        <f t="shared" si="0"/>
        <v>3</v>
      </c>
      <c r="D10" s="46"/>
      <c r="E10" s="95" t="s">
        <v>263</v>
      </c>
      <c r="F10" s="68">
        <v>16.55</v>
      </c>
      <c r="G10" s="8"/>
      <c r="H10" s="95" t="s">
        <v>581</v>
      </c>
      <c r="I10" s="384">
        <v>15.75</v>
      </c>
      <c r="J10" s="8"/>
      <c r="K10" s="95" t="s">
        <v>603</v>
      </c>
      <c r="L10" s="68">
        <v>14.350000000000001</v>
      </c>
      <c r="M10" s="8"/>
      <c r="N10" s="95" t="s">
        <v>655</v>
      </c>
      <c r="O10" s="68">
        <v>16.149999999999999</v>
      </c>
      <c r="P10" s="8"/>
      <c r="Q10" s="418" t="s">
        <v>752</v>
      </c>
      <c r="R10" s="68">
        <v>14.95</v>
      </c>
      <c r="S10" s="8"/>
      <c r="T10" s="95" t="s">
        <v>792</v>
      </c>
      <c r="U10" s="384">
        <v>14.850000000000001</v>
      </c>
      <c r="V10" s="8"/>
      <c r="W10" s="93" t="s">
        <v>331</v>
      </c>
      <c r="X10" s="384">
        <v>15.9</v>
      </c>
      <c r="Y10" s="8"/>
      <c r="Z10" s="95" t="s">
        <v>826</v>
      </c>
      <c r="AA10" s="68">
        <v>16.8</v>
      </c>
      <c r="AB10" s="8"/>
      <c r="AC10" s="16" t="s">
        <v>856</v>
      </c>
      <c r="AD10" s="384">
        <v>15.1</v>
      </c>
      <c r="AE10" s="8"/>
      <c r="AF10" s="417" t="s">
        <v>1356</v>
      </c>
      <c r="AG10" s="68">
        <v>16.05</v>
      </c>
      <c r="AH10" s="8"/>
      <c r="AI10" s="100" t="s">
        <v>900</v>
      </c>
      <c r="AJ10" s="384">
        <v>15.5</v>
      </c>
      <c r="AK10" s="8"/>
      <c r="AL10" s="95" t="s">
        <v>952</v>
      </c>
      <c r="AM10" s="384">
        <v>14.850000000000001</v>
      </c>
      <c r="AN10" s="8"/>
      <c r="AO10" s="100" t="s">
        <v>1010</v>
      </c>
      <c r="AP10" s="384">
        <v>15.85</v>
      </c>
      <c r="AR10" s="108" t="s">
        <v>1088</v>
      </c>
      <c r="AS10" s="68">
        <v>12.6</v>
      </c>
      <c r="AU10" s="93" t="s">
        <v>923</v>
      </c>
      <c r="AV10" s="384">
        <v>15.9</v>
      </c>
      <c r="AX10" s="95" t="s">
        <v>719</v>
      </c>
      <c r="AY10" s="384">
        <v>15.600000000000001</v>
      </c>
    </row>
    <row r="11" spans="1:51" ht="18.75">
      <c r="A11" s="202" t="s">
        <v>99</v>
      </c>
      <c r="B11" s="203">
        <f>AG1</f>
        <v>163.33000000000001</v>
      </c>
      <c r="C11" s="40">
        <f t="shared" si="0"/>
        <v>5</v>
      </c>
      <c r="D11" s="46"/>
      <c r="E11" s="95" t="s">
        <v>265</v>
      </c>
      <c r="F11" s="68">
        <v>16.450000000000003</v>
      </c>
      <c r="G11" s="8"/>
      <c r="H11" s="95" t="s">
        <v>582</v>
      </c>
      <c r="I11" s="384">
        <v>15.5</v>
      </c>
      <c r="J11" s="8"/>
      <c r="K11" s="95" t="s">
        <v>605</v>
      </c>
      <c r="L11" s="68">
        <v>14.2</v>
      </c>
      <c r="M11" s="8"/>
      <c r="N11" s="95" t="s">
        <v>246</v>
      </c>
      <c r="O11" s="68">
        <v>16.100000000000001</v>
      </c>
      <c r="P11" s="8"/>
      <c r="Q11" s="418" t="s">
        <v>756</v>
      </c>
      <c r="R11" s="68">
        <v>14.85</v>
      </c>
      <c r="S11" s="8"/>
      <c r="T11" s="416" t="s">
        <v>775</v>
      </c>
      <c r="U11" s="384">
        <v>14.8</v>
      </c>
      <c r="V11" s="8"/>
      <c r="W11" s="93" t="s">
        <v>325</v>
      </c>
      <c r="X11" s="384">
        <v>15.899999999999999</v>
      </c>
      <c r="Y11" s="8"/>
      <c r="Z11" s="95" t="s">
        <v>64</v>
      </c>
      <c r="AA11" s="68">
        <v>16.7</v>
      </c>
      <c r="AB11" s="8"/>
      <c r="AC11" s="237" t="s">
        <v>1364</v>
      </c>
      <c r="AD11" s="384">
        <v>14.75</v>
      </c>
      <c r="AE11" s="8"/>
      <c r="AF11" s="95" t="s">
        <v>872</v>
      </c>
      <c r="AG11" s="68">
        <v>15.8</v>
      </c>
      <c r="AH11" s="8"/>
      <c r="AI11" s="108" t="s">
        <v>890</v>
      </c>
      <c r="AJ11" s="68">
        <v>15.35</v>
      </c>
      <c r="AK11" s="8"/>
      <c r="AL11" s="108" t="s">
        <v>950</v>
      </c>
      <c r="AM11" s="384">
        <v>14.700000000000001</v>
      </c>
      <c r="AN11" s="8"/>
      <c r="AO11" s="93" t="s">
        <v>1371</v>
      </c>
      <c r="AP11" s="384">
        <v>15.45</v>
      </c>
      <c r="AR11" s="108" t="s">
        <v>1092</v>
      </c>
      <c r="AS11" s="68">
        <v>12.6</v>
      </c>
      <c r="AU11" s="95" t="s">
        <v>914</v>
      </c>
      <c r="AV11" s="384">
        <v>15.75</v>
      </c>
      <c r="AX11" s="95" t="s">
        <v>722</v>
      </c>
      <c r="AY11" s="384">
        <v>15.6</v>
      </c>
    </row>
    <row r="12" spans="1:51" s="389" customFormat="1" ht="18.75">
      <c r="A12" s="202" t="s">
        <v>568</v>
      </c>
      <c r="B12" s="203">
        <f>AJ1</f>
        <v>157.5</v>
      </c>
      <c r="C12" s="40">
        <f t="shared" si="0"/>
        <v>10</v>
      </c>
      <c r="D12" s="388"/>
      <c r="E12" s="95" t="s">
        <v>254</v>
      </c>
      <c r="F12" s="384">
        <v>16.45</v>
      </c>
      <c r="H12" s="95" t="s">
        <v>584</v>
      </c>
      <c r="I12" s="384">
        <v>0</v>
      </c>
      <c r="K12" s="95" t="s">
        <v>612</v>
      </c>
      <c r="L12" s="384">
        <v>13.95</v>
      </c>
      <c r="N12" s="95" t="s">
        <v>247</v>
      </c>
      <c r="O12" s="384">
        <v>16.05</v>
      </c>
      <c r="Q12" s="95" t="s">
        <v>761</v>
      </c>
      <c r="R12" s="384">
        <v>14.75</v>
      </c>
      <c r="T12" s="93" t="s">
        <v>311</v>
      </c>
      <c r="U12" s="384">
        <v>14.75</v>
      </c>
      <c r="W12" s="93" t="s">
        <v>329</v>
      </c>
      <c r="X12" s="384">
        <v>15.85</v>
      </c>
      <c r="Z12" s="95" t="s">
        <v>836</v>
      </c>
      <c r="AA12" s="384">
        <v>16.200000000000003</v>
      </c>
      <c r="AC12" s="100" t="s">
        <v>850</v>
      </c>
      <c r="AD12" s="384">
        <v>14.75</v>
      </c>
      <c r="AF12" s="95" t="s">
        <v>871</v>
      </c>
      <c r="AG12" s="384">
        <v>15.75</v>
      </c>
      <c r="AI12" s="100" t="s">
        <v>893</v>
      </c>
      <c r="AJ12" s="384">
        <v>15.2</v>
      </c>
      <c r="AL12" s="100" t="s">
        <v>945</v>
      </c>
      <c r="AM12" s="384">
        <v>14.25</v>
      </c>
      <c r="AO12" s="387" t="s">
        <v>396</v>
      </c>
      <c r="AP12" s="384">
        <v>15.350000000000001</v>
      </c>
      <c r="AR12" s="142" t="s">
        <v>1068</v>
      </c>
      <c r="AS12" s="384">
        <v>12.55</v>
      </c>
      <c r="AU12" s="93" t="s">
        <v>919</v>
      </c>
      <c r="AV12" s="384">
        <v>15.65</v>
      </c>
      <c r="AX12" s="95" t="s">
        <v>718</v>
      </c>
      <c r="AY12" s="384">
        <v>15.55</v>
      </c>
    </row>
    <row r="13" spans="1:51" ht="18.75">
      <c r="A13" s="202" t="s">
        <v>574</v>
      </c>
      <c r="B13" s="203">
        <f>AM1</f>
        <v>152.4</v>
      </c>
      <c r="C13" s="40">
        <f t="shared" si="0"/>
        <v>12</v>
      </c>
      <c r="E13" s="93" t="s">
        <v>147</v>
      </c>
      <c r="F13" s="68">
        <v>16.45</v>
      </c>
      <c r="G13" s="8"/>
      <c r="H13" s="95" t="s">
        <v>579</v>
      </c>
      <c r="I13" s="384">
        <v>0</v>
      </c>
      <c r="J13" s="8"/>
      <c r="K13" s="108" t="s">
        <v>610</v>
      </c>
      <c r="L13" s="384">
        <v>13.85</v>
      </c>
      <c r="M13" s="8"/>
      <c r="N13" s="95" t="s">
        <v>248</v>
      </c>
      <c r="O13" s="68">
        <v>16.05</v>
      </c>
      <c r="P13" s="8"/>
      <c r="Q13" s="93" t="s">
        <v>765</v>
      </c>
      <c r="R13" s="68">
        <v>14.65</v>
      </c>
      <c r="S13" s="8"/>
      <c r="T13" s="110" t="s">
        <v>305</v>
      </c>
      <c r="U13" s="384">
        <v>14.7</v>
      </c>
      <c r="V13" s="8"/>
      <c r="W13" s="95" t="s">
        <v>802</v>
      </c>
      <c r="X13" s="68">
        <v>15.7</v>
      </c>
      <c r="Y13" s="8"/>
      <c r="Z13" s="95" t="s">
        <v>838</v>
      </c>
      <c r="AA13" s="384">
        <v>16.05</v>
      </c>
      <c r="AB13" s="8"/>
      <c r="AC13" s="261" t="s">
        <v>857</v>
      </c>
      <c r="AD13" s="384">
        <v>14.700000000000001</v>
      </c>
      <c r="AE13" s="8"/>
      <c r="AF13" s="108" t="s">
        <v>860</v>
      </c>
      <c r="AG13" s="384">
        <v>15.7</v>
      </c>
      <c r="AH13" s="8"/>
      <c r="AI13" s="108" t="s">
        <v>896</v>
      </c>
      <c r="AJ13" s="384">
        <v>14.850000000000001</v>
      </c>
      <c r="AK13" s="8"/>
      <c r="AL13" s="8"/>
      <c r="AM13" s="384"/>
      <c r="AN13" s="8"/>
      <c r="AO13" s="422" t="s">
        <v>1015</v>
      </c>
      <c r="AP13" s="384">
        <v>15.25</v>
      </c>
      <c r="AR13" s="95" t="s">
        <v>1349</v>
      </c>
      <c r="AS13" s="68">
        <v>12.55</v>
      </c>
      <c r="AU13" s="95" t="s">
        <v>915</v>
      </c>
      <c r="AV13" s="384">
        <v>15.6</v>
      </c>
      <c r="AX13" s="95" t="s">
        <v>290</v>
      </c>
      <c r="AY13" s="384">
        <v>15.5</v>
      </c>
    </row>
    <row r="14" spans="1:51" ht="18.75">
      <c r="A14" s="206" t="s">
        <v>562</v>
      </c>
      <c r="B14" s="207">
        <f>AP1</f>
        <v>161.94999999999999</v>
      </c>
      <c r="C14" s="40">
        <f t="shared" si="0"/>
        <v>8</v>
      </c>
      <c r="E14" s="93" t="s">
        <v>256</v>
      </c>
      <c r="F14" s="68">
        <v>16.350000000000001</v>
      </c>
      <c r="G14" s="8"/>
      <c r="H14" s="95" t="s">
        <v>228</v>
      </c>
      <c r="I14" s="384">
        <v>0</v>
      </c>
      <c r="J14" s="8"/>
      <c r="K14" s="8"/>
      <c r="L14" s="384"/>
      <c r="M14" s="8"/>
      <c r="N14" s="93" t="s">
        <v>233</v>
      </c>
      <c r="O14" s="384">
        <v>15.5</v>
      </c>
      <c r="P14" s="8"/>
      <c r="Q14" s="93" t="s">
        <v>763</v>
      </c>
      <c r="R14" s="68">
        <v>14.600000000000001</v>
      </c>
      <c r="S14" s="8"/>
      <c r="T14" s="100" t="s">
        <v>776</v>
      </c>
      <c r="U14" s="384">
        <v>14.55</v>
      </c>
      <c r="V14" s="8"/>
      <c r="W14" s="93" t="s">
        <v>807</v>
      </c>
      <c r="X14" s="384">
        <v>15.649999999999999</v>
      </c>
      <c r="Y14" s="8"/>
      <c r="Z14" s="108" t="s">
        <v>839</v>
      </c>
      <c r="AA14" s="384">
        <v>16</v>
      </c>
      <c r="AB14" s="8"/>
      <c r="AC14" s="8"/>
      <c r="AD14" s="384"/>
      <c r="AE14" s="8"/>
      <c r="AF14" s="281" t="s">
        <v>870</v>
      </c>
      <c r="AG14" s="384">
        <v>15.55</v>
      </c>
      <c r="AH14" s="8"/>
      <c r="AI14" s="100" t="s">
        <v>902</v>
      </c>
      <c r="AJ14" s="384">
        <v>14.850000000000001</v>
      </c>
      <c r="AK14" s="8"/>
      <c r="AL14" s="8"/>
      <c r="AM14" s="68"/>
      <c r="AN14" s="8"/>
      <c r="AO14" s="418" t="s">
        <v>1017</v>
      </c>
      <c r="AP14" s="384">
        <v>15.2</v>
      </c>
      <c r="AR14" s="95" t="s">
        <v>1083</v>
      </c>
      <c r="AS14" s="68">
        <v>12.55</v>
      </c>
      <c r="AU14" s="93" t="s">
        <v>921</v>
      </c>
      <c r="AV14" s="384">
        <v>15.450000000000001</v>
      </c>
      <c r="AX14" s="95" t="s">
        <v>292</v>
      </c>
      <c r="AY14" s="384">
        <v>15.450000000000001</v>
      </c>
    </row>
    <row r="15" spans="1:51" ht="18.75">
      <c r="A15" s="206" t="s">
        <v>454</v>
      </c>
      <c r="B15" s="207">
        <f>AS1</f>
        <v>127.64999999999999</v>
      </c>
      <c r="C15" s="40">
        <f t="shared" si="0"/>
        <v>15</v>
      </c>
      <c r="E15" s="100" t="s">
        <v>42</v>
      </c>
      <c r="F15" s="14">
        <v>16.350000000000001</v>
      </c>
      <c r="G15" s="8"/>
      <c r="H15" s="8"/>
      <c r="I15" s="194"/>
      <c r="J15" s="8"/>
      <c r="K15" s="8"/>
      <c r="L15" s="68"/>
      <c r="M15" s="8"/>
      <c r="N15" s="95" t="s">
        <v>656</v>
      </c>
      <c r="O15" s="68">
        <v>15.3</v>
      </c>
      <c r="P15" s="8"/>
      <c r="Q15" s="93" t="s">
        <v>767</v>
      </c>
      <c r="R15" s="68">
        <v>13.95</v>
      </c>
      <c r="S15" s="8"/>
      <c r="T15" s="100" t="s">
        <v>310</v>
      </c>
      <c r="U15" s="384">
        <v>14.55</v>
      </c>
      <c r="V15" s="8"/>
      <c r="W15" s="95" t="s">
        <v>801</v>
      </c>
      <c r="X15" s="68">
        <v>15.6</v>
      </c>
      <c r="Y15" s="8"/>
      <c r="Z15" s="204" t="s">
        <v>834</v>
      </c>
      <c r="AA15" s="384">
        <v>15.6</v>
      </c>
      <c r="AB15" s="8"/>
      <c r="AC15" s="8"/>
      <c r="AD15" s="384"/>
      <c r="AE15" s="8"/>
      <c r="AF15" s="108" t="s">
        <v>874</v>
      </c>
      <c r="AG15" s="384">
        <v>15.55</v>
      </c>
      <c r="AH15" s="8"/>
      <c r="AI15" s="110" t="s">
        <v>894</v>
      </c>
      <c r="AJ15" s="384">
        <v>14.8</v>
      </c>
      <c r="AK15" s="8"/>
      <c r="AL15" s="8"/>
      <c r="AM15" s="384"/>
      <c r="AN15" s="8"/>
      <c r="AO15" s="387" t="s">
        <v>1011</v>
      </c>
      <c r="AP15" s="384">
        <v>15.1</v>
      </c>
      <c r="AR15" s="421" t="s">
        <v>1095</v>
      </c>
      <c r="AS15" s="384">
        <v>12.5</v>
      </c>
      <c r="AU15" s="93" t="s">
        <v>925</v>
      </c>
      <c r="AV15" s="384">
        <v>15.35</v>
      </c>
      <c r="AX15" s="93" t="s">
        <v>730</v>
      </c>
      <c r="AY15" s="384">
        <v>15.45</v>
      </c>
    </row>
    <row r="16" spans="1:51" ht="18.75">
      <c r="A16" s="206" t="s">
        <v>1379</v>
      </c>
      <c r="B16" s="207">
        <f>AV1</f>
        <v>163</v>
      </c>
      <c r="C16" s="40">
        <f t="shared" si="0"/>
        <v>6</v>
      </c>
      <c r="E16" s="108" t="s">
        <v>80</v>
      </c>
      <c r="F16" s="14">
        <v>16.3</v>
      </c>
      <c r="G16" s="8"/>
      <c r="H16" s="8"/>
      <c r="I16" s="194"/>
      <c r="J16" s="8"/>
      <c r="L16" s="384"/>
      <c r="M16" s="8"/>
      <c r="N16" s="95" t="s">
        <v>235</v>
      </c>
      <c r="O16" s="384">
        <v>15.15</v>
      </c>
      <c r="P16" s="8"/>
      <c r="Q16" s="93" t="s">
        <v>764</v>
      </c>
      <c r="R16" s="68">
        <v>13.75</v>
      </c>
      <c r="S16" s="8"/>
      <c r="T16" s="108" t="s">
        <v>786</v>
      </c>
      <c r="U16" s="384">
        <v>14.25</v>
      </c>
      <c r="V16" s="8"/>
      <c r="W16" s="95" t="s">
        <v>355</v>
      </c>
      <c r="X16" s="384">
        <v>15.5</v>
      </c>
      <c r="Y16" s="8"/>
      <c r="Z16" s="204" t="s">
        <v>822</v>
      </c>
      <c r="AA16" s="384">
        <v>15.6</v>
      </c>
      <c r="AB16" s="8"/>
      <c r="AC16" s="8"/>
      <c r="AD16" s="384"/>
      <c r="AE16" s="8"/>
      <c r="AF16" s="108" t="s">
        <v>864</v>
      </c>
      <c r="AG16" s="384">
        <v>15.4</v>
      </c>
      <c r="AH16" s="8"/>
      <c r="AI16" s="100" t="s">
        <v>901</v>
      </c>
      <c r="AJ16" s="384">
        <v>14.55</v>
      </c>
      <c r="AK16" s="8"/>
      <c r="AL16" s="8"/>
      <c r="AM16" s="384"/>
      <c r="AN16" s="8"/>
      <c r="AO16" s="108" t="s">
        <v>390</v>
      </c>
      <c r="AP16" s="384">
        <v>15</v>
      </c>
      <c r="AR16" s="425" t="s">
        <v>1070</v>
      </c>
      <c r="AS16" s="384">
        <v>12.5</v>
      </c>
      <c r="AU16" s="95" t="s">
        <v>926</v>
      </c>
      <c r="AV16" s="384">
        <v>14.6</v>
      </c>
      <c r="AX16" s="93" t="s">
        <v>731</v>
      </c>
      <c r="AY16" s="384">
        <v>15.45</v>
      </c>
    </row>
    <row r="17" spans="1:51" ht="18.75">
      <c r="A17" s="206" t="s">
        <v>557</v>
      </c>
      <c r="B17" s="207">
        <f>AY1</f>
        <v>158.30000000000001</v>
      </c>
      <c r="C17" s="40">
        <f t="shared" si="0"/>
        <v>9</v>
      </c>
      <c r="E17" s="108" t="s">
        <v>671</v>
      </c>
      <c r="F17" s="14">
        <v>16.25</v>
      </c>
      <c r="G17" s="8"/>
      <c r="H17" s="8"/>
      <c r="I17" s="194"/>
      <c r="J17" s="8"/>
      <c r="L17" s="384"/>
      <c r="M17" s="8"/>
      <c r="N17" s="95" t="s">
        <v>651</v>
      </c>
      <c r="O17" s="384">
        <v>15.05</v>
      </c>
      <c r="P17" s="8"/>
      <c r="Q17" s="419" t="s">
        <v>766</v>
      </c>
      <c r="R17" s="68">
        <v>13.5</v>
      </c>
      <c r="S17" s="8"/>
      <c r="T17" s="108" t="s">
        <v>790</v>
      </c>
      <c r="U17" s="384">
        <v>13.55</v>
      </c>
      <c r="V17" s="8"/>
      <c r="W17" s="95" t="s">
        <v>359</v>
      </c>
      <c r="X17" s="68">
        <v>15.4</v>
      </c>
      <c r="Y17" s="8"/>
      <c r="Z17" s="204" t="s">
        <v>835</v>
      </c>
      <c r="AA17" s="384">
        <v>15.4</v>
      </c>
      <c r="AB17" s="8"/>
      <c r="AC17" s="8"/>
      <c r="AD17" s="384"/>
      <c r="AE17" s="8"/>
      <c r="AF17" s="95" t="s">
        <v>859</v>
      </c>
      <c r="AG17" s="384">
        <v>15.3</v>
      </c>
      <c r="AH17" s="8"/>
      <c r="AI17" s="16" t="s">
        <v>891</v>
      </c>
      <c r="AJ17" s="384">
        <v>14.55</v>
      </c>
      <c r="AK17" s="8"/>
      <c r="AL17" s="8"/>
      <c r="AM17" s="384"/>
      <c r="AN17" s="8"/>
      <c r="AO17" s="93" t="s">
        <v>1013</v>
      </c>
      <c r="AP17" s="384">
        <v>14.45</v>
      </c>
      <c r="AR17" s="108" t="s">
        <v>1091</v>
      </c>
      <c r="AS17" s="68">
        <v>12.5</v>
      </c>
      <c r="AU17" s="95" t="s">
        <v>913</v>
      </c>
      <c r="AV17" s="384">
        <v>14.399999999999999</v>
      </c>
      <c r="AX17" s="93" t="s">
        <v>728</v>
      </c>
      <c r="AY17" s="384">
        <v>15.2</v>
      </c>
    </row>
    <row r="18" spans="1:51">
      <c r="E18" s="108" t="s">
        <v>79</v>
      </c>
      <c r="F18" s="14">
        <v>16.25</v>
      </c>
      <c r="G18" s="8"/>
      <c r="H18" s="8"/>
      <c r="I18" s="194"/>
      <c r="J18" s="8"/>
      <c r="L18" s="68"/>
      <c r="M18" s="8"/>
      <c r="N18" s="108" t="s">
        <v>661</v>
      </c>
      <c r="O18" s="384">
        <v>14.95</v>
      </c>
      <c r="P18" s="8"/>
      <c r="R18" s="384"/>
      <c r="S18" s="8"/>
      <c r="T18" s="108" t="s">
        <v>791</v>
      </c>
      <c r="U18" s="384">
        <v>13.55</v>
      </c>
      <c r="V18" s="8"/>
      <c r="W18" s="95" t="s">
        <v>326</v>
      </c>
      <c r="X18" s="68">
        <v>15.399999999999999</v>
      </c>
      <c r="Y18" s="8"/>
      <c r="Z18" s="204" t="s">
        <v>825</v>
      </c>
      <c r="AA18" s="384">
        <v>15.350000000000001</v>
      </c>
      <c r="AB18" s="8"/>
      <c r="AC18" s="8"/>
      <c r="AD18" s="384"/>
      <c r="AE18" s="8"/>
      <c r="AF18" s="421" t="s">
        <v>875</v>
      </c>
      <c r="AG18" s="384">
        <v>0</v>
      </c>
      <c r="AH18" s="8"/>
      <c r="AI18" s="108" t="s">
        <v>898</v>
      </c>
      <c r="AJ18" s="384">
        <v>14.15</v>
      </c>
      <c r="AK18" s="8"/>
      <c r="AL18" s="8"/>
      <c r="AM18" s="384"/>
      <c r="AN18" s="8"/>
      <c r="AO18" s="93" t="s">
        <v>398</v>
      </c>
      <c r="AP18" s="384">
        <v>8.5</v>
      </c>
      <c r="AR18" s="42" t="s">
        <v>1069</v>
      </c>
      <c r="AS18" s="384">
        <v>12.4</v>
      </c>
      <c r="AV18" s="384"/>
      <c r="AX18" s="93" t="s">
        <v>282</v>
      </c>
      <c r="AY18" s="384">
        <v>14.899999999999999</v>
      </c>
    </row>
    <row r="19" spans="1:51">
      <c r="E19" s="108" t="s">
        <v>262</v>
      </c>
      <c r="F19" s="14">
        <v>16.149999999999999</v>
      </c>
      <c r="G19" s="8"/>
      <c r="H19" s="8"/>
      <c r="I19" s="194"/>
      <c r="J19" s="8"/>
      <c r="L19" s="68"/>
      <c r="M19" s="8"/>
      <c r="N19" s="108" t="s">
        <v>242</v>
      </c>
      <c r="O19" s="384">
        <v>14.899999999999999</v>
      </c>
      <c r="P19" s="8"/>
      <c r="R19" s="384"/>
      <c r="S19" s="8"/>
      <c r="T19" s="108" t="s">
        <v>307</v>
      </c>
      <c r="U19" s="384">
        <v>13.4</v>
      </c>
      <c r="V19" s="8"/>
      <c r="W19" s="93" t="s">
        <v>38</v>
      </c>
      <c r="X19" s="384">
        <v>15.350000000000001</v>
      </c>
      <c r="Y19" s="8"/>
      <c r="Z19" s="205" t="s">
        <v>823</v>
      </c>
      <c r="AA19" s="384">
        <v>15.35</v>
      </c>
      <c r="AB19" s="8"/>
      <c r="AC19" s="8"/>
      <c r="AD19" s="68"/>
      <c r="AE19" s="8"/>
      <c r="AF19" s="95" t="s">
        <v>861</v>
      </c>
      <c r="AG19" s="384">
        <v>0</v>
      </c>
      <c r="AH19" s="8"/>
      <c r="AI19" s="100" t="s">
        <v>905</v>
      </c>
      <c r="AJ19" s="384">
        <v>8.4</v>
      </c>
      <c r="AK19" s="8"/>
      <c r="AL19" s="8"/>
      <c r="AM19" s="384"/>
      <c r="AN19" s="8"/>
      <c r="AO19" s="95" t="s">
        <v>1018</v>
      </c>
      <c r="AP19" s="384">
        <v>7.75</v>
      </c>
      <c r="AR19" s="108" t="s">
        <v>457</v>
      </c>
      <c r="AS19" s="68">
        <v>12.4</v>
      </c>
      <c r="AV19" s="384"/>
      <c r="AX19" s="95" t="s">
        <v>723</v>
      </c>
      <c r="AY19" s="384">
        <v>14.7</v>
      </c>
    </row>
    <row r="20" spans="1:51">
      <c r="E20" s="108" t="s">
        <v>267</v>
      </c>
      <c r="F20" s="14">
        <v>16.149999999999999</v>
      </c>
      <c r="G20" s="8"/>
      <c r="H20" s="8"/>
      <c r="I20" s="194"/>
      <c r="J20" s="8"/>
      <c r="L20" s="68"/>
      <c r="M20" s="8"/>
      <c r="N20" s="95" t="s">
        <v>654</v>
      </c>
      <c r="O20" s="384">
        <v>14.6</v>
      </c>
      <c r="P20" s="8"/>
      <c r="R20" s="384"/>
      <c r="S20" s="8"/>
      <c r="T20" s="100" t="s">
        <v>777</v>
      </c>
      <c r="U20" s="384">
        <v>13.2</v>
      </c>
      <c r="V20" s="8"/>
      <c r="W20" s="93" t="s">
        <v>347</v>
      </c>
      <c r="X20" s="384">
        <v>15.149999999999999</v>
      </c>
      <c r="Y20" s="8"/>
      <c r="Z20" s="108" t="s">
        <v>837</v>
      </c>
      <c r="AA20" s="384">
        <v>15.15</v>
      </c>
      <c r="AB20" s="8"/>
      <c r="AC20" s="8"/>
      <c r="AD20" s="68"/>
      <c r="AE20" s="8"/>
      <c r="AF20" s="95" t="s">
        <v>862</v>
      </c>
      <c r="AG20" s="384">
        <v>0</v>
      </c>
      <c r="AH20" s="8"/>
      <c r="AI20" s="281" t="s">
        <v>895</v>
      </c>
      <c r="AJ20" s="384">
        <v>0</v>
      </c>
      <c r="AK20" s="8"/>
      <c r="AL20" s="8"/>
      <c r="AM20" s="384"/>
      <c r="AN20" s="8"/>
      <c r="AO20" s="93" t="s">
        <v>1009</v>
      </c>
      <c r="AP20" s="384">
        <v>0</v>
      </c>
      <c r="AR20" s="281" t="s">
        <v>459</v>
      </c>
      <c r="AS20" s="384">
        <v>12.3</v>
      </c>
      <c r="AV20" s="384"/>
    </row>
    <row r="21" spans="1:51">
      <c r="E21" s="365" t="s">
        <v>258</v>
      </c>
      <c r="F21" s="14">
        <v>16.149999999999999</v>
      </c>
      <c r="G21" s="8"/>
      <c r="H21" s="8"/>
      <c r="I21" s="194"/>
      <c r="J21" s="8"/>
      <c r="L21" s="384"/>
      <c r="M21" s="8"/>
      <c r="N21" s="95" t="s">
        <v>652</v>
      </c>
      <c r="O21" s="384">
        <v>14.55</v>
      </c>
      <c r="P21" s="8"/>
      <c r="R21" s="68"/>
      <c r="S21" s="8"/>
      <c r="T21" s="95" t="s">
        <v>789</v>
      </c>
      <c r="U21" s="384">
        <v>13.1</v>
      </c>
      <c r="V21" s="8"/>
      <c r="W21" s="95" t="s">
        <v>339</v>
      </c>
      <c r="X21" s="68">
        <v>15.100000000000001</v>
      </c>
      <c r="Y21" s="8"/>
      <c r="Z21" s="95" t="s">
        <v>828</v>
      </c>
      <c r="AA21" s="68">
        <v>14.75</v>
      </c>
      <c r="AB21" s="8"/>
      <c r="AC21" s="8"/>
      <c r="AD21" s="68"/>
      <c r="AE21" s="8"/>
      <c r="AF21" s="8"/>
      <c r="AG21" s="68"/>
      <c r="AH21" s="8"/>
      <c r="AI21" s="108" t="s">
        <v>897</v>
      </c>
      <c r="AJ21" s="384">
        <v>0</v>
      </c>
      <c r="AK21" s="8"/>
      <c r="AL21" s="8"/>
      <c r="AM21" s="384"/>
      <c r="AN21" s="8"/>
      <c r="AO21" s="8"/>
      <c r="AP21" s="384"/>
      <c r="AR21" s="95" t="s">
        <v>1098</v>
      </c>
      <c r="AS21" s="384">
        <v>12.3</v>
      </c>
    </row>
    <row r="22" spans="1:51">
      <c r="E22" s="95" t="s">
        <v>44</v>
      </c>
      <c r="F22" s="14">
        <v>16.149999999999999</v>
      </c>
      <c r="G22" s="8"/>
      <c r="H22" s="8"/>
      <c r="I22" s="194"/>
      <c r="J22" s="8"/>
      <c r="K22" s="8"/>
      <c r="L22" s="194"/>
      <c r="M22" s="8"/>
      <c r="N22" s="417" t="s">
        <v>240</v>
      </c>
      <c r="O22" s="68">
        <v>14.5</v>
      </c>
      <c r="P22" s="8"/>
      <c r="R22" s="68"/>
      <c r="S22" s="8"/>
      <c r="T22" s="95" t="s">
        <v>788</v>
      </c>
      <c r="U22" s="384">
        <v>12.5</v>
      </c>
      <c r="V22" s="8"/>
      <c r="W22" s="95" t="s">
        <v>811</v>
      </c>
      <c r="X22" s="68">
        <v>14.85</v>
      </c>
      <c r="Y22" s="8"/>
      <c r="Z22" s="95" t="s">
        <v>824</v>
      </c>
      <c r="AA22" s="384">
        <v>14.55</v>
      </c>
      <c r="AB22" s="8"/>
      <c r="AC22" s="8"/>
      <c r="AD22" s="68"/>
      <c r="AE22" s="8"/>
      <c r="AF22" s="8"/>
      <c r="AG22" s="68"/>
      <c r="AH22" s="8"/>
      <c r="AJ22" s="384"/>
      <c r="AK22" s="8"/>
      <c r="AL22" s="8"/>
      <c r="AM22" s="8"/>
      <c r="AN22" s="8"/>
      <c r="AP22" s="8"/>
      <c r="AR22" s="95" t="s">
        <v>1085</v>
      </c>
      <c r="AS22" s="68">
        <v>12.3</v>
      </c>
    </row>
    <row r="23" spans="1:51">
      <c r="E23" s="95" t="s">
        <v>261</v>
      </c>
      <c r="F23" s="14">
        <v>16.05</v>
      </c>
      <c r="G23" s="8"/>
      <c r="H23" s="8"/>
      <c r="I23" s="194"/>
      <c r="J23" s="8"/>
      <c r="K23" s="8"/>
      <c r="L23" s="194"/>
      <c r="M23" s="8"/>
      <c r="N23" s="417" t="s">
        <v>241</v>
      </c>
      <c r="O23" s="68">
        <v>14.4</v>
      </c>
      <c r="P23" s="8"/>
      <c r="R23" s="384"/>
      <c r="S23" s="8"/>
      <c r="T23" s="93" t="s">
        <v>780</v>
      </c>
      <c r="U23" s="384">
        <v>0</v>
      </c>
      <c r="V23" s="8"/>
      <c r="W23" s="95" t="s">
        <v>805</v>
      </c>
      <c r="X23" s="68">
        <v>14.7</v>
      </c>
      <c r="Y23" s="8"/>
      <c r="Z23" s="204" t="s">
        <v>821</v>
      </c>
      <c r="AA23" s="384">
        <v>14.05</v>
      </c>
      <c r="AB23" s="8"/>
      <c r="AC23" s="8"/>
      <c r="AD23" s="68"/>
      <c r="AE23" s="8"/>
      <c r="AF23" s="8"/>
      <c r="AG23" s="68"/>
      <c r="AH23" s="8"/>
      <c r="AI23" s="8"/>
      <c r="AJ23" s="68"/>
      <c r="AK23" s="8"/>
      <c r="AL23" s="8"/>
      <c r="AM23" s="8"/>
      <c r="AN23" s="8"/>
      <c r="AP23" s="8"/>
      <c r="AR23" s="95" t="s">
        <v>1089</v>
      </c>
      <c r="AS23" s="68">
        <v>12.3</v>
      </c>
    </row>
    <row r="24" spans="1:51">
      <c r="E24" s="93" t="s">
        <v>39</v>
      </c>
      <c r="F24" s="14">
        <v>15.95</v>
      </c>
      <c r="G24" s="8"/>
      <c r="J24" s="8"/>
      <c r="L24" s="194"/>
      <c r="M24" s="8"/>
      <c r="N24" s="95" t="s">
        <v>653</v>
      </c>
      <c r="O24" s="384">
        <v>13.5</v>
      </c>
      <c r="P24" s="8"/>
      <c r="R24" s="68"/>
      <c r="S24" s="8"/>
      <c r="T24" s="93" t="s">
        <v>781</v>
      </c>
      <c r="U24" s="384">
        <v>0</v>
      </c>
      <c r="V24" s="8"/>
      <c r="W24" s="95" t="s">
        <v>804</v>
      </c>
      <c r="X24" s="68">
        <v>14.600000000000001</v>
      </c>
      <c r="Y24" s="8"/>
      <c r="Z24" s="205" t="s">
        <v>827</v>
      </c>
      <c r="AA24" s="68">
        <v>0</v>
      </c>
      <c r="AB24" s="8"/>
      <c r="AD24" s="68"/>
      <c r="AE24" s="8"/>
      <c r="AF24" s="8"/>
      <c r="AG24" s="68"/>
      <c r="AH24" s="8"/>
      <c r="AJ24" s="68"/>
      <c r="AK24" s="8"/>
      <c r="AL24" s="8"/>
      <c r="AM24" s="8"/>
      <c r="AN24" s="8"/>
      <c r="AR24" s="95" t="s">
        <v>1093</v>
      </c>
      <c r="AS24" s="68">
        <v>12.3</v>
      </c>
    </row>
    <row r="25" spans="1:51">
      <c r="E25" s="100" t="s">
        <v>144</v>
      </c>
      <c r="F25" s="14">
        <v>15.85</v>
      </c>
      <c r="G25" s="8"/>
      <c r="J25" s="8"/>
      <c r="L25" s="194"/>
      <c r="M25" s="8"/>
      <c r="N25" s="108" t="s">
        <v>659</v>
      </c>
      <c r="O25" s="384">
        <v>13.45</v>
      </c>
      <c r="P25" s="8"/>
      <c r="R25" s="68"/>
      <c r="S25" s="8"/>
      <c r="U25" s="68"/>
      <c r="V25" s="8"/>
      <c r="W25" s="95" t="s">
        <v>362</v>
      </c>
      <c r="X25" s="68">
        <v>14.15</v>
      </c>
      <c r="Y25" s="8"/>
      <c r="AA25" s="68"/>
      <c r="AB25" s="8"/>
      <c r="AD25" s="194"/>
      <c r="AE25" s="8"/>
      <c r="AF25" s="8"/>
      <c r="AG25" s="384"/>
      <c r="AH25" s="8"/>
      <c r="AJ25" s="68"/>
      <c r="AK25" s="8"/>
      <c r="AL25" s="8"/>
      <c r="AM25" s="8"/>
      <c r="AN25" s="8"/>
      <c r="AR25" s="204" t="s">
        <v>1079</v>
      </c>
      <c r="AS25" s="384">
        <v>12.2</v>
      </c>
    </row>
    <row r="26" spans="1:51">
      <c r="E26" s="95" t="s">
        <v>667</v>
      </c>
      <c r="F26" s="68">
        <v>15.8</v>
      </c>
      <c r="G26" s="8"/>
      <c r="J26" s="8"/>
      <c r="L26" s="194"/>
      <c r="M26" s="8"/>
      <c r="N26" s="108" t="s">
        <v>660</v>
      </c>
      <c r="O26" s="384">
        <v>12.95</v>
      </c>
      <c r="P26" s="8"/>
      <c r="R26" s="46"/>
      <c r="S26" s="8"/>
      <c r="U26" s="68"/>
      <c r="V26" s="8"/>
      <c r="W26" s="95" t="s">
        <v>335</v>
      </c>
      <c r="X26" s="384">
        <v>13.95</v>
      </c>
      <c r="Y26" s="8"/>
      <c r="AA26" s="194"/>
      <c r="AB26" s="8"/>
      <c r="AD26" s="194"/>
      <c r="AE26" s="8"/>
      <c r="AF26" s="8"/>
      <c r="AG26" s="68"/>
      <c r="AH26" s="8"/>
      <c r="AJ26" s="68"/>
      <c r="AK26" s="8"/>
      <c r="AM26" s="8"/>
      <c r="AN26" s="8"/>
      <c r="AR26" s="204" t="s">
        <v>1078</v>
      </c>
      <c r="AS26" s="384">
        <v>12.15</v>
      </c>
    </row>
    <row r="27" spans="1:51">
      <c r="E27" s="95" t="s">
        <v>663</v>
      </c>
      <c r="F27" s="384">
        <v>15.7</v>
      </c>
      <c r="G27" s="8"/>
      <c r="J27" s="8"/>
      <c r="L27" s="194"/>
      <c r="M27" s="8"/>
      <c r="N27" s="108" t="s">
        <v>245</v>
      </c>
      <c r="O27" s="384">
        <v>12.55</v>
      </c>
      <c r="P27" s="8"/>
      <c r="R27" s="46"/>
      <c r="S27" s="8"/>
      <c r="U27" s="68"/>
      <c r="V27" s="8"/>
      <c r="W27" s="95" t="s">
        <v>809</v>
      </c>
      <c r="X27" s="384">
        <v>13.899999999999999</v>
      </c>
      <c r="Y27" s="8"/>
      <c r="AA27" s="194"/>
      <c r="AB27" s="8"/>
      <c r="AD27" s="194"/>
      <c r="AE27" s="8"/>
      <c r="AF27" s="8"/>
      <c r="AG27" s="68"/>
      <c r="AH27" s="8"/>
      <c r="AJ27" s="68"/>
      <c r="AK27" s="8"/>
      <c r="AM27" s="8"/>
      <c r="AN27" s="8"/>
      <c r="AR27" s="204" t="s">
        <v>1076</v>
      </c>
      <c r="AS27" s="384">
        <v>12.05</v>
      </c>
    </row>
    <row r="28" spans="1:51">
      <c r="E28" s="95" t="s">
        <v>665</v>
      </c>
      <c r="F28" s="68">
        <v>15.45</v>
      </c>
      <c r="G28" s="8"/>
      <c r="J28" s="8"/>
      <c r="L28" s="194"/>
      <c r="M28" s="8"/>
      <c r="N28" s="16" t="s">
        <v>657</v>
      </c>
      <c r="O28" s="68">
        <v>0</v>
      </c>
      <c r="P28" s="8"/>
      <c r="R28" s="46"/>
      <c r="S28" s="8"/>
      <c r="U28" s="68"/>
      <c r="V28" s="8"/>
      <c r="W28" s="95" t="s">
        <v>810</v>
      </c>
      <c r="X28" s="384">
        <v>13.5</v>
      </c>
      <c r="Y28" s="8"/>
      <c r="AA28" s="194"/>
      <c r="AB28" s="8"/>
      <c r="AD28" s="194"/>
      <c r="AE28" s="8"/>
      <c r="AG28" s="68"/>
      <c r="AH28" s="8"/>
      <c r="AJ28" s="8"/>
      <c r="AK28" s="8"/>
      <c r="AM28" s="8"/>
      <c r="AN28" s="8"/>
      <c r="AR28" s="205" t="s">
        <v>1347</v>
      </c>
      <c r="AS28" s="384">
        <v>11.9</v>
      </c>
    </row>
    <row r="29" spans="1:51">
      <c r="E29" s="95" t="s">
        <v>43</v>
      </c>
      <c r="F29" s="68">
        <v>15.15</v>
      </c>
      <c r="G29" s="8"/>
      <c r="J29" s="8"/>
      <c r="L29" s="194"/>
      <c r="M29" s="8"/>
      <c r="N29" s="205" t="s">
        <v>658</v>
      </c>
      <c r="O29" s="68">
        <v>0</v>
      </c>
      <c r="P29" s="8"/>
      <c r="R29" s="46"/>
      <c r="S29" s="8"/>
      <c r="U29" s="68"/>
      <c r="V29" s="8"/>
      <c r="W29" s="204" t="s">
        <v>337</v>
      </c>
      <c r="X29" s="68">
        <v>0</v>
      </c>
      <c r="Y29" s="8"/>
      <c r="AA29" s="194"/>
      <c r="AB29" s="8"/>
      <c r="AC29" s="8"/>
      <c r="AD29" s="194"/>
      <c r="AE29" s="8"/>
      <c r="AG29" s="194"/>
      <c r="AH29" s="8"/>
      <c r="AJ29" s="8"/>
      <c r="AK29" s="8"/>
      <c r="AM29" s="8"/>
      <c r="AN29" s="8"/>
      <c r="AR29" s="426" t="s">
        <v>1099</v>
      </c>
      <c r="AS29" s="384">
        <v>11.8</v>
      </c>
    </row>
    <row r="30" spans="1:51">
      <c r="E30" s="95" t="s">
        <v>664</v>
      </c>
      <c r="F30" s="68">
        <v>14.85</v>
      </c>
      <c r="G30" s="8"/>
      <c r="J30" s="8"/>
      <c r="K30" s="8"/>
      <c r="L30" s="194"/>
      <c r="M30" s="8"/>
      <c r="N30" s="8"/>
      <c r="O30" s="68"/>
      <c r="P30" s="8"/>
      <c r="R30" s="46"/>
      <c r="S30" s="8"/>
      <c r="U30" s="68"/>
      <c r="V30" s="8"/>
      <c r="W30" s="199" t="s">
        <v>332</v>
      </c>
      <c r="X30" s="68">
        <v>0</v>
      </c>
      <c r="Y30" s="8"/>
      <c r="AA30" s="194"/>
      <c r="AB30" s="8"/>
      <c r="AC30" s="8"/>
      <c r="AD30" s="194"/>
      <c r="AE30" s="8"/>
      <c r="AG30" s="194"/>
      <c r="AH30" s="8"/>
      <c r="AJ30" s="8"/>
      <c r="AK30" s="8"/>
      <c r="AL30" s="8"/>
      <c r="AM30" s="8"/>
      <c r="AN30" s="8"/>
      <c r="AR30" s="204" t="s">
        <v>1084</v>
      </c>
      <c r="AS30" s="68">
        <v>11.8</v>
      </c>
    </row>
    <row r="31" spans="1:51">
      <c r="E31" s="93" t="s">
        <v>673</v>
      </c>
      <c r="F31" s="68">
        <v>14.75</v>
      </c>
      <c r="G31" s="8"/>
      <c r="J31" s="8"/>
      <c r="K31" s="8"/>
      <c r="L31" s="194"/>
      <c r="M31" s="8"/>
      <c r="N31" s="8"/>
      <c r="O31" s="194"/>
      <c r="P31" s="8"/>
      <c r="R31" s="46"/>
      <c r="S31" s="8"/>
      <c r="U31" s="68"/>
      <c r="V31" s="8"/>
      <c r="X31" s="68"/>
      <c r="Y31" s="8"/>
      <c r="AA31" s="194"/>
      <c r="AB31" s="8"/>
      <c r="AC31" s="8"/>
      <c r="AD31" s="194"/>
      <c r="AE31" s="8"/>
      <c r="AF31" s="8"/>
      <c r="AG31" s="194"/>
      <c r="AH31" s="8"/>
      <c r="AI31" s="8"/>
      <c r="AJ31" s="8"/>
      <c r="AK31" s="8"/>
      <c r="AL31" s="8"/>
      <c r="AM31" s="8"/>
      <c r="AN31" s="8"/>
      <c r="AR31" s="204" t="s">
        <v>1096</v>
      </c>
      <c r="AS31" s="384">
        <v>11.6</v>
      </c>
    </row>
    <row r="32" spans="1:51">
      <c r="E32" s="95" t="s">
        <v>257</v>
      </c>
      <c r="F32" s="384">
        <v>14.4</v>
      </c>
      <c r="G32" s="8"/>
      <c r="J32" s="8"/>
      <c r="K32" s="8"/>
      <c r="L32" s="194"/>
      <c r="M32" s="8"/>
      <c r="N32" s="8"/>
      <c r="O32" s="194"/>
      <c r="P32" s="8"/>
      <c r="R32" s="68"/>
      <c r="S32" s="8"/>
      <c r="U32" s="68"/>
      <c r="V32" s="8"/>
      <c r="X32" s="68"/>
      <c r="Y32" s="8"/>
      <c r="AA32" s="194"/>
      <c r="AB32" s="8"/>
      <c r="AC32" s="8"/>
      <c r="AD32" s="194"/>
      <c r="AE32" s="8"/>
      <c r="AF32" s="8"/>
      <c r="AG32" s="194"/>
      <c r="AH32" s="8"/>
      <c r="AI32" s="8"/>
      <c r="AJ32" s="8"/>
      <c r="AK32" s="8"/>
      <c r="AL32" s="8"/>
      <c r="AM32" s="8"/>
      <c r="AN32" s="8"/>
      <c r="AR32" s="424" t="s">
        <v>1067</v>
      </c>
      <c r="AS32" s="384">
        <v>11.4</v>
      </c>
    </row>
    <row r="33" spans="5:45">
      <c r="E33" s="95" t="s">
        <v>672</v>
      </c>
      <c r="F33" s="68">
        <v>14.05</v>
      </c>
      <c r="G33" s="8"/>
      <c r="J33" s="8"/>
      <c r="K33" s="8"/>
      <c r="L33" s="194"/>
      <c r="M33" s="8"/>
      <c r="N33" s="8"/>
      <c r="O33" s="194"/>
      <c r="P33" s="8"/>
      <c r="R33" s="68"/>
      <c r="S33" s="8"/>
      <c r="U33" s="68"/>
      <c r="V33" s="8"/>
      <c r="X33" s="68"/>
      <c r="Y33" s="8"/>
      <c r="AA33" s="194"/>
      <c r="AB33" s="8"/>
      <c r="AC33" s="8"/>
      <c r="AD33" s="194"/>
      <c r="AE33" s="8"/>
      <c r="AF33" s="8"/>
      <c r="AG33" s="194"/>
      <c r="AH33" s="8"/>
      <c r="AI33" s="8"/>
      <c r="AJ33" s="8"/>
      <c r="AK33" s="8"/>
      <c r="AL33" s="8"/>
      <c r="AM33" s="8"/>
      <c r="AN33" s="8"/>
      <c r="AR33" s="205" t="s">
        <v>451</v>
      </c>
      <c r="AS33" s="384">
        <v>11.4</v>
      </c>
    </row>
    <row r="34" spans="5:45">
      <c r="E34" s="108" t="s">
        <v>669</v>
      </c>
      <c r="F34" s="68">
        <v>14</v>
      </c>
      <c r="G34" s="8"/>
      <c r="J34" s="8"/>
      <c r="K34" s="8"/>
      <c r="L34" s="194"/>
      <c r="M34" s="8"/>
      <c r="N34" s="8"/>
      <c r="O34" s="194"/>
      <c r="P34" s="8"/>
      <c r="R34" s="194"/>
      <c r="S34" s="8"/>
      <c r="U34" s="194"/>
      <c r="V34" s="8"/>
      <c r="X34" s="68"/>
      <c r="Y34" s="8"/>
      <c r="AA34" s="194"/>
      <c r="AB34" s="8"/>
      <c r="AC34" s="8"/>
      <c r="AD34" s="194"/>
      <c r="AE34" s="8"/>
      <c r="AF34" s="8"/>
      <c r="AG34" s="194"/>
      <c r="AH34" s="8"/>
      <c r="AI34" s="8"/>
      <c r="AJ34" s="8"/>
      <c r="AK34" s="8"/>
      <c r="AL34" s="8"/>
      <c r="AM34" s="8"/>
      <c r="AN34" s="8"/>
      <c r="AR34" s="204" t="s">
        <v>1082</v>
      </c>
      <c r="AS34" s="384">
        <v>11.4</v>
      </c>
    </row>
    <row r="35" spans="5:45">
      <c r="E35" s="95" t="s">
        <v>670</v>
      </c>
      <c r="F35" s="68">
        <v>13.9</v>
      </c>
      <c r="X35" s="73"/>
      <c r="AR35" s="204" t="s">
        <v>1077</v>
      </c>
      <c r="AS35" s="384">
        <v>11.35</v>
      </c>
    </row>
    <row r="36" spans="5:45">
      <c r="E36" s="95" t="s">
        <v>255</v>
      </c>
      <c r="F36" s="68">
        <v>0</v>
      </c>
      <c r="X36" s="73"/>
      <c r="AR36" s="204" t="s">
        <v>1074</v>
      </c>
      <c r="AS36" s="384">
        <v>11.3</v>
      </c>
    </row>
    <row r="37" spans="5:45">
      <c r="E37" s="108" t="s">
        <v>662</v>
      </c>
      <c r="F37" s="384">
        <v>0</v>
      </c>
      <c r="X37" s="73"/>
      <c r="AR37" s="204" t="s">
        <v>1075</v>
      </c>
      <c r="AS37" s="384">
        <v>5</v>
      </c>
    </row>
    <row r="38" spans="5:45">
      <c r="E38" s="108" t="s">
        <v>260</v>
      </c>
      <c r="F38" s="68">
        <v>0</v>
      </c>
      <c r="X38" s="73"/>
      <c r="AR38" s="205" t="s">
        <v>1097</v>
      </c>
      <c r="AS38" s="384">
        <v>0</v>
      </c>
    </row>
    <row r="39" spans="5:45">
      <c r="E39" s="68"/>
      <c r="F39" s="384"/>
      <c r="X39" s="73"/>
      <c r="AR39" s="204" t="s">
        <v>1081</v>
      </c>
      <c r="AS39" s="384">
        <v>0</v>
      </c>
    </row>
    <row r="40" spans="5:45">
      <c r="E40" s="384"/>
      <c r="F40" s="68"/>
      <c r="X40" s="73"/>
      <c r="AR40" s="205" t="s">
        <v>452</v>
      </c>
      <c r="AS40" s="384">
        <v>0</v>
      </c>
    </row>
    <row r="41" spans="5:45">
      <c r="E41" s="68"/>
      <c r="F41" s="384"/>
      <c r="X41" s="73"/>
    </row>
    <row r="42" spans="5:45">
      <c r="E42" s="68"/>
      <c r="F42" s="68"/>
      <c r="X42" s="73"/>
    </row>
    <row r="43" spans="5:45">
      <c r="E43" s="384"/>
      <c r="F43" s="68"/>
      <c r="X43" s="73"/>
    </row>
    <row r="44" spans="5:45">
      <c r="E44" s="46"/>
      <c r="F44" s="384"/>
    </row>
    <row r="45" spans="5:45">
      <c r="E45" s="46"/>
      <c r="F45" s="46"/>
    </row>
    <row r="46" spans="5:45">
      <c r="E46" s="46"/>
      <c r="F46" s="46"/>
    </row>
    <row r="47" spans="5:45">
      <c r="E47" s="46"/>
      <c r="F47" s="46"/>
    </row>
    <row r="48" spans="5:45">
      <c r="E48" s="73"/>
      <c r="F48" s="73"/>
    </row>
    <row r="49" spans="5:33">
      <c r="E49" s="73"/>
      <c r="F49" s="73"/>
      <c r="I49"/>
      <c r="L49"/>
      <c r="O49"/>
      <c r="R49"/>
      <c r="U49"/>
      <c r="X49"/>
      <c r="AA49"/>
      <c r="AD49"/>
      <c r="AG49"/>
    </row>
    <row r="50" spans="5:33">
      <c r="E50" s="46"/>
      <c r="F50" s="46"/>
      <c r="I50"/>
      <c r="L50"/>
      <c r="O50"/>
      <c r="R50"/>
      <c r="U50"/>
      <c r="X50"/>
      <c r="AA50"/>
      <c r="AD50"/>
      <c r="AG50"/>
    </row>
    <row r="51" spans="5:33">
      <c r="E51" s="46"/>
      <c r="F51" s="46"/>
      <c r="I51"/>
      <c r="L51"/>
      <c r="O51"/>
      <c r="R51"/>
      <c r="U51"/>
      <c r="X51"/>
      <c r="AA51"/>
      <c r="AD51"/>
      <c r="AG51"/>
    </row>
    <row r="52" spans="5:33">
      <c r="E52" s="46"/>
      <c r="F52" s="46"/>
      <c r="I52"/>
      <c r="L52"/>
      <c r="O52"/>
      <c r="R52"/>
      <c r="U52"/>
      <c r="X52"/>
      <c r="AA52"/>
      <c r="AD52"/>
      <c r="AG52"/>
    </row>
    <row r="53" spans="5:33">
      <c r="E53" s="46"/>
      <c r="F53" s="46"/>
      <c r="I53"/>
      <c r="L53"/>
      <c r="O53"/>
      <c r="R53"/>
      <c r="U53"/>
      <c r="X53"/>
      <c r="AA53"/>
      <c r="AD53"/>
      <c r="AG53"/>
    </row>
    <row r="54" spans="5:33">
      <c r="E54" s="192"/>
      <c r="I54"/>
      <c r="L54"/>
      <c r="O54"/>
      <c r="R54"/>
      <c r="U54"/>
      <c r="X54"/>
      <c r="AA54"/>
      <c r="AD54"/>
      <c r="AG54"/>
    </row>
    <row r="55" spans="5:33">
      <c r="E55" s="192"/>
      <c r="I55"/>
      <c r="L55"/>
      <c r="O55"/>
      <c r="R55"/>
      <c r="U55"/>
      <c r="X55"/>
      <c r="AA55"/>
      <c r="AD55"/>
      <c r="AG55"/>
    </row>
    <row r="56" spans="5:33">
      <c r="E56" s="192"/>
      <c r="I56"/>
      <c r="L56"/>
      <c r="O56"/>
      <c r="R56"/>
      <c r="U56"/>
      <c r="X56"/>
      <c r="AA56"/>
      <c r="AD56"/>
      <c r="AG56"/>
    </row>
  </sheetData>
  <phoneticPr fontId="21" type="noConversion"/>
  <conditionalFormatting sqref="C3:C17">
    <cfRule type="cellIs" dxfId="259" priority="1" operator="equal">
      <formula>3</formula>
    </cfRule>
    <cfRule type="cellIs" dxfId="258" priority="2" operator="equal">
      <formula>2</formula>
    </cfRule>
    <cfRule type="cellIs" dxfId="257" priority="3" operator="equal">
      <formula>1</formula>
    </cfRule>
  </conditionalFormatting>
  <pageMargins left="0.75" right="0.75" top="1" bottom="1" header="0.5" footer="0.5"/>
  <pageSetup paperSize="9" scale="18" orientation="landscape" horizontalDpi="4294967292" verticalDpi="4294967292"/>
  <colBreaks count="1" manualBreakCount="1">
    <brk id="52" max="1048575" man="1"/>
  </colBreaks>
  <tableParts count="1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44.xml><?xml version="1.0" encoding="utf-8"?>
<worksheet xmlns="http://schemas.openxmlformats.org/spreadsheetml/2006/main" xmlns:r="http://schemas.openxmlformats.org/officeDocument/2006/relationships">
  <dimension ref="A1:L56"/>
  <sheetViews>
    <sheetView workbookViewId="0"/>
  </sheetViews>
  <sheetFormatPr defaultColWidth="11" defaultRowHeight="15.75"/>
  <cols>
    <col min="1" max="1" width="24.125" bestFit="1" customWidth="1"/>
    <col min="2" max="2" width="8.5" customWidth="1"/>
    <col min="3" max="3" width="4.5" customWidth="1"/>
    <col min="4" max="4" width="3.375" customWidth="1"/>
    <col min="5" max="5" width="21.875" bestFit="1" customWidth="1"/>
    <col min="6" max="6" width="11.625" style="192" customWidth="1"/>
    <col min="7" max="7" width="3.875" customWidth="1"/>
    <col min="8" max="8" width="20.125" bestFit="1" customWidth="1"/>
    <col min="10" max="10" width="4.125" customWidth="1"/>
    <col min="11" max="11" width="20.125" bestFit="1" customWidth="1"/>
  </cols>
  <sheetData>
    <row r="1" spans="1:12" ht="26.25">
      <c r="A1" s="193" t="s">
        <v>569</v>
      </c>
      <c r="B1" s="197"/>
      <c r="C1" s="197"/>
      <c r="D1" s="197"/>
      <c r="E1" s="193" t="s">
        <v>562</v>
      </c>
      <c r="F1" s="197">
        <f>SUM(F3:F12)</f>
        <v>185</v>
      </c>
      <c r="G1" s="8"/>
      <c r="H1" s="193" t="s">
        <v>563</v>
      </c>
      <c r="I1" s="197">
        <f>SUM(I3:I12)</f>
        <v>160.05000000000001</v>
      </c>
      <c r="K1" s="193" t="s">
        <v>555</v>
      </c>
      <c r="L1" s="197">
        <f>SUM(L3:L12)</f>
        <v>167.29999999999998</v>
      </c>
    </row>
    <row r="2" spans="1:12" ht="18.75">
      <c r="A2" s="200" t="s">
        <v>12</v>
      </c>
      <c r="B2" s="200" t="s">
        <v>570</v>
      </c>
      <c r="C2" s="201" t="s">
        <v>11</v>
      </c>
      <c r="D2" s="195"/>
      <c r="E2" s="195" t="s">
        <v>567</v>
      </c>
      <c r="F2" s="196" t="s">
        <v>5</v>
      </c>
      <c r="G2" s="8"/>
      <c r="H2" s="195" t="s">
        <v>567</v>
      </c>
      <c r="I2" s="196" t="s">
        <v>5</v>
      </c>
      <c r="K2" s="195" t="s">
        <v>567</v>
      </c>
      <c r="L2" s="196" t="s">
        <v>5</v>
      </c>
    </row>
    <row r="3" spans="1:12" ht="18.75">
      <c r="A3" s="202" t="s">
        <v>562</v>
      </c>
      <c r="B3" s="203">
        <f>F1</f>
        <v>185</v>
      </c>
      <c r="C3" s="40">
        <f>SUMPRODUCT((B$3:B$5&gt;B3)/COUNTIF(B$3:B$5,B$3:B$5&amp;""))+1</f>
        <v>1</v>
      </c>
      <c r="D3" s="46"/>
      <c r="E3" s="95" t="s">
        <v>437</v>
      </c>
      <c r="F3" s="68">
        <v>19.450000000000003</v>
      </c>
      <c r="G3" s="8"/>
      <c r="H3" s="93" t="s">
        <v>1171</v>
      </c>
      <c r="I3" s="384">
        <v>17.299999999999997</v>
      </c>
      <c r="K3" s="93" t="s">
        <v>382</v>
      </c>
      <c r="L3" s="68">
        <v>17.899999999999999</v>
      </c>
    </row>
    <row r="4" spans="1:12" ht="18.75">
      <c r="A4" s="202" t="s">
        <v>563</v>
      </c>
      <c r="B4" s="203">
        <f>I1</f>
        <v>160.05000000000001</v>
      </c>
      <c r="C4" s="40">
        <f t="shared" ref="C4:C5" si="0">SUMPRODUCT((B$3:B$5&gt;B4)/COUNTIF(B$3:B$5,B$3:B$5&amp;""))+1</f>
        <v>3</v>
      </c>
      <c r="D4" s="46"/>
      <c r="E4" s="95" t="s">
        <v>430</v>
      </c>
      <c r="F4" s="68">
        <v>19.200000000000003</v>
      </c>
      <c r="G4" s="8"/>
      <c r="H4" s="93" t="s">
        <v>1154</v>
      </c>
      <c r="I4" s="68">
        <v>17</v>
      </c>
      <c r="K4" s="93" t="s">
        <v>994</v>
      </c>
      <c r="L4" s="68">
        <v>17.399999999999999</v>
      </c>
    </row>
    <row r="5" spans="1:12" ht="18.75">
      <c r="A5" s="206" t="s">
        <v>555</v>
      </c>
      <c r="B5" s="207">
        <f>L1</f>
        <v>167.29999999999998</v>
      </c>
      <c r="C5" s="40">
        <f t="shared" si="0"/>
        <v>2</v>
      </c>
      <c r="D5" s="46"/>
      <c r="E5" s="93" t="s">
        <v>414</v>
      </c>
      <c r="F5" s="68">
        <v>19.049999999999997</v>
      </c>
      <c r="G5" s="8"/>
      <c r="H5" s="93" t="s">
        <v>1172</v>
      </c>
      <c r="I5" s="68">
        <v>16.95</v>
      </c>
      <c r="K5" s="93" t="s">
        <v>993</v>
      </c>
      <c r="L5" s="68">
        <v>17</v>
      </c>
    </row>
    <row r="6" spans="1:12">
      <c r="D6" s="46"/>
      <c r="E6" s="93" t="s">
        <v>428</v>
      </c>
      <c r="F6" s="68">
        <v>18.7</v>
      </c>
      <c r="G6" s="8"/>
      <c r="H6" s="93" t="s">
        <v>1153</v>
      </c>
      <c r="I6" s="68">
        <v>16.850000000000001</v>
      </c>
      <c r="K6" s="93" t="s">
        <v>995</v>
      </c>
      <c r="L6" s="68">
        <v>16.8</v>
      </c>
    </row>
    <row r="7" spans="1:12">
      <c r="B7" s="7"/>
      <c r="D7" s="46"/>
      <c r="E7" s="93" t="s">
        <v>408</v>
      </c>
      <c r="F7" s="68">
        <v>18.399999999999999</v>
      </c>
      <c r="G7" s="8"/>
      <c r="H7" s="93" t="s">
        <v>1173</v>
      </c>
      <c r="I7" s="384">
        <v>16.8</v>
      </c>
      <c r="K7" s="93" t="s">
        <v>387</v>
      </c>
      <c r="L7" s="384">
        <v>16.600000000000001</v>
      </c>
    </row>
    <row r="8" spans="1:12">
      <c r="B8" s="7"/>
      <c r="D8" s="46"/>
      <c r="E8" s="100" t="s">
        <v>1022</v>
      </c>
      <c r="F8" s="68">
        <v>18.399999999999999</v>
      </c>
      <c r="G8" s="8"/>
      <c r="H8" s="93" t="s">
        <v>175</v>
      </c>
      <c r="I8" s="68">
        <v>16.8</v>
      </c>
      <c r="K8" s="93" t="s">
        <v>986</v>
      </c>
      <c r="L8" s="68">
        <v>16.55</v>
      </c>
    </row>
    <row r="9" spans="1:12">
      <c r="D9" s="46"/>
      <c r="E9" s="100" t="s">
        <v>409</v>
      </c>
      <c r="F9" s="68">
        <v>18.350000000000001</v>
      </c>
      <c r="G9" s="8"/>
      <c r="H9" s="93" t="s">
        <v>1152</v>
      </c>
      <c r="I9" s="68">
        <v>16.7</v>
      </c>
      <c r="K9" s="93" t="s">
        <v>381</v>
      </c>
      <c r="L9" s="68">
        <v>16.399999999999999</v>
      </c>
    </row>
    <row r="10" spans="1:12">
      <c r="D10" s="46"/>
      <c r="E10" s="100" t="s">
        <v>407</v>
      </c>
      <c r="F10" s="68">
        <v>18</v>
      </c>
      <c r="G10" s="8"/>
      <c r="H10" s="93" t="s">
        <v>77</v>
      </c>
      <c r="I10" s="68">
        <v>16.649999999999999</v>
      </c>
      <c r="K10" s="93" t="s">
        <v>987</v>
      </c>
      <c r="L10" s="384">
        <v>16.3</v>
      </c>
    </row>
    <row r="11" spans="1:12">
      <c r="D11" s="46"/>
      <c r="E11" s="100" t="s">
        <v>406</v>
      </c>
      <c r="F11" s="68">
        <v>17.850000000000001</v>
      </c>
      <c r="G11" s="8"/>
      <c r="H11" s="93" t="s">
        <v>88</v>
      </c>
      <c r="I11" s="68">
        <v>16.450000000000003</v>
      </c>
      <c r="K11" s="93" t="s">
        <v>386</v>
      </c>
      <c r="L11" s="68">
        <v>16.25</v>
      </c>
    </row>
    <row r="12" spans="1:12" s="390" customFormat="1">
      <c r="D12" s="391"/>
      <c r="E12" s="93" t="s">
        <v>429</v>
      </c>
      <c r="F12" s="68">
        <v>17.600000000000001</v>
      </c>
      <c r="H12" s="93" t="s">
        <v>474</v>
      </c>
      <c r="I12" s="68">
        <v>8.5500000000000007</v>
      </c>
      <c r="K12" s="93" t="s">
        <v>985</v>
      </c>
      <c r="L12" s="384">
        <v>16.100000000000001</v>
      </c>
    </row>
    <row r="13" spans="1:12">
      <c r="E13" s="93" t="s">
        <v>439</v>
      </c>
      <c r="F13" s="68">
        <v>17.350000000000001</v>
      </c>
      <c r="G13" s="8"/>
      <c r="H13" s="93" t="s">
        <v>1170</v>
      </c>
      <c r="I13" s="384">
        <v>7.55</v>
      </c>
      <c r="L13" s="68"/>
    </row>
    <row r="14" spans="1:12">
      <c r="E14" s="93" t="s">
        <v>440</v>
      </c>
      <c r="F14" s="68">
        <v>17.350000000000001</v>
      </c>
      <c r="G14" s="8"/>
    </row>
    <row r="15" spans="1:12">
      <c r="E15" s="93" t="s">
        <v>441</v>
      </c>
      <c r="F15" s="68">
        <v>17.350000000000001</v>
      </c>
      <c r="G15" s="8"/>
    </row>
    <row r="16" spans="1:12">
      <c r="E16" s="93" t="s">
        <v>1032</v>
      </c>
      <c r="F16" s="68">
        <v>17.25</v>
      </c>
      <c r="G16" s="8"/>
    </row>
    <row r="17" spans="5:9">
      <c r="E17" s="93" t="s">
        <v>438</v>
      </c>
      <c r="F17" s="384">
        <v>17.200000000000003</v>
      </c>
      <c r="G17" s="8"/>
    </row>
    <row r="18" spans="5:9">
      <c r="E18" s="93" t="s">
        <v>1345</v>
      </c>
      <c r="F18" s="68">
        <v>17.05</v>
      </c>
      <c r="G18" s="8"/>
    </row>
    <row r="19" spans="5:9">
      <c r="E19" s="93" t="s">
        <v>1024</v>
      </c>
      <c r="F19" s="68">
        <v>17</v>
      </c>
      <c r="G19" s="8"/>
    </row>
    <row r="20" spans="5:9">
      <c r="E20" s="93" t="s">
        <v>442</v>
      </c>
      <c r="F20" s="14">
        <v>16.95</v>
      </c>
      <c r="G20" s="8"/>
    </row>
    <row r="21" spans="5:9">
      <c r="E21" s="429" t="s">
        <v>1341</v>
      </c>
      <c r="F21" s="14">
        <v>16.75</v>
      </c>
      <c r="G21" s="8"/>
    </row>
    <row r="22" spans="5:9">
      <c r="E22" s="93" t="s">
        <v>1034</v>
      </c>
      <c r="F22" s="14">
        <v>16.700000000000003</v>
      </c>
      <c r="G22" s="8"/>
    </row>
    <row r="23" spans="5:9">
      <c r="E23" s="93" t="s">
        <v>444</v>
      </c>
      <c r="F23" s="14">
        <v>16.7</v>
      </c>
      <c r="G23" s="8"/>
    </row>
    <row r="24" spans="5:9">
      <c r="E24" s="179" t="s">
        <v>443</v>
      </c>
      <c r="F24" s="14">
        <v>16.600000000000001</v>
      </c>
      <c r="G24" s="8"/>
    </row>
    <row r="25" spans="5:9">
      <c r="E25" s="427" t="s">
        <v>1340</v>
      </c>
      <c r="F25" s="14">
        <v>16.45</v>
      </c>
      <c r="G25" s="8"/>
    </row>
    <row r="26" spans="5:9">
      <c r="E26" s="93" t="s">
        <v>1023</v>
      </c>
      <c r="F26" s="14">
        <v>16</v>
      </c>
      <c r="G26" s="8"/>
    </row>
    <row r="27" spans="5:9">
      <c r="E27" s="428" t="s">
        <v>1342</v>
      </c>
      <c r="F27" s="68">
        <v>15.95</v>
      </c>
      <c r="G27" s="8"/>
    </row>
    <row r="28" spans="5:9">
      <c r="E28" s="93" t="s">
        <v>1033</v>
      </c>
      <c r="F28" s="68">
        <v>0</v>
      </c>
      <c r="G28" s="8"/>
    </row>
    <row r="29" spans="5:9">
      <c r="E29" s="8"/>
      <c r="F29" s="384"/>
      <c r="G29" s="8"/>
    </row>
    <row r="30" spans="5:9">
      <c r="E30" s="8"/>
      <c r="F30" s="384"/>
      <c r="G30" s="8"/>
    </row>
    <row r="31" spans="5:9">
      <c r="E31" s="8"/>
      <c r="F31" s="8"/>
      <c r="G31" s="8"/>
      <c r="H31" s="8"/>
      <c r="I31" s="8"/>
    </row>
    <row r="32" spans="5:9">
      <c r="F32"/>
      <c r="G32" s="8"/>
      <c r="H32" s="8"/>
      <c r="I32" s="8"/>
    </row>
    <row r="33" spans="5:9">
      <c r="F33"/>
      <c r="G33" s="8"/>
      <c r="H33" s="8"/>
      <c r="I33" s="8"/>
    </row>
    <row r="34" spans="5:9">
      <c r="F34"/>
      <c r="G34" s="8"/>
      <c r="H34" s="8"/>
      <c r="I34" s="8"/>
    </row>
    <row r="35" spans="5:9">
      <c r="F35"/>
    </row>
    <row r="36" spans="5:9">
      <c r="F36"/>
    </row>
    <row r="37" spans="5:9">
      <c r="F37"/>
    </row>
    <row r="38" spans="5:9">
      <c r="F38"/>
    </row>
    <row r="39" spans="5:9">
      <c r="F39"/>
    </row>
    <row r="40" spans="5:9">
      <c r="F40"/>
    </row>
    <row r="41" spans="5:9">
      <c r="F41"/>
    </row>
    <row r="42" spans="5:9">
      <c r="F42"/>
    </row>
    <row r="43" spans="5:9">
      <c r="F43"/>
    </row>
    <row r="44" spans="5:9">
      <c r="F44"/>
    </row>
    <row r="45" spans="5:9">
      <c r="F45"/>
    </row>
    <row r="46" spans="5:9">
      <c r="E46" s="46"/>
      <c r="F46" s="46"/>
    </row>
    <row r="47" spans="5:9">
      <c r="E47" s="46"/>
      <c r="F47" s="46"/>
    </row>
    <row r="48" spans="5:9">
      <c r="E48" s="73"/>
      <c r="F48" s="73"/>
    </row>
    <row r="49" spans="5:6">
      <c r="E49" s="73"/>
      <c r="F49" s="73"/>
    </row>
    <row r="50" spans="5:6">
      <c r="E50" s="46"/>
      <c r="F50" s="46"/>
    </row>
    <row r="51" spans="5:6">
      <c r="E51" s="46"/>
      <c r="F51" s="46"/>
    </row>
    <row r="52" spans="5:6">
      <c r="E52" s="46"/>
      <c r="F52" s="46"/>
    </row>
    <row r="53" spans="5:6">
      <c r="E53" s="46"/>
      <c r="F53" s="46"/>
    </row>
    <row r="54" spans="5:6">
      <c r="E54" s="192"/>
    </row>
    <row r="55" spans="5:6">
      <c r="E55" s="192"/>
    </row>
    <row r="56" spans="5:6">
      <c r="E56" s="192"/>
    </row>
  </sheetData>
  <phoneticPr fontId="21" type="noConversion"/>
  <conditionalFormatting sqref="C3:C5">
    <cfRule type="cellIs" dxfId="158" priority="1" operator="equal">
      <formula>3</formula>
    </cfRule>
    <cfRule type="cellIs" dxfId="157" priority="2" operator="equal">
      <formula>2</formula>
    </cfRule>
    <cfRule type="cellIs" dxfId="156" priority="3" operator="equal">
      <formula>1</formula>
    </cfRule>
  </conditionalFormatting>
  <pageMargins left="0.75" right="0.75" top="1" bottom="1" header="0.5" footer="0.5"/>
  <pageSetup paperSize="9" scale="73" orientation="landscape" horizontalDpi="4294967292" verticalDpi="4294967292"/>
  <colBreaks count="1" manualBreakCount="1">
    <brk id="14" max="1048575" man="1"/>
  </colBreaks>
  <tableParts count="4">
    <tablePart r:id="rId1"/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>
  <dimension ref="A1:AP56"/>
  <sheetViews>
    <sheetView topLeftCell="A7" workbookViewId="0"/>
  </sheetViews>
  <sheetFormatPr defaultColWidth="11" defaultRowHeight="15.75"/>
  <cols>
    <col min="1" max="1" width="27.375" bestFit="1" customWidth="1"/>
    <col min="2" max="2" width="8.5" customWidth="1"/>
    <col min="3" max="3" width="4.5" customWidth="1"/>
    <col min="4" max="4" width="3.375" customWidth="1"/>
    <col min="5" max="5" width="21.875" bestFit="1" customWidth="1"/>
    <col min="6" max="6" width="11.625" style="192" customWidth="1"/>
    <col min="7" max="7" width="3.875" customWidth="1"/>
    <col min="8" max="8" width="21.625" bestFit="1" customWidth="1"/>
    <col min="10" max="10" width="5" customWidth="1"/>
    <col min="11" max="11" width="20.125" bestFit="1" customWidth="1"/>
    <col min="12" max="12" width="12.125" bestFit="1" customWidth="1"/>
    <col min="13" max="13" width="4.625" customWidth="1"/>
    <col min="14" max="14" width="21" customWidth="1"/>
    <col min="16" max="16" width="2.875" customWidth="1"/>
    <col min="17" max="17" width="20.125" bestFit="1" customWidth="1"/>
    <col min="19" max="19" width="3.125" customWidth="1"/>
    <col min="20" max="20" width="20.125" bestFit="1" customWidth="1"/>
    <col min="22" max="22" width="4" customWidth="1"/>
    <col min="23" max="23" width="20.125" bestFit="1" customWidth="1"/>
    <col min="25" max="25" width="5" customWidth="1"/>
    <col min="26" max="26" width="20.125" bestFit="1" customWidth="1"/>
    <col min="28" max="28" width="4.5" customWidth="1"/>
    <col min="29" max="29" width="18.625" customWidth="1"/>
    <col min="31" max="31" width="3.5" customWidth="1"/>
    <col min="32" max="32" width="20.625" customWidth="1"/>
    <col min="34" max="34" width="4.375" customWidth="1"/>
    <col min="35" max="35" width="20.875" customWidth="1"/>
    <col min="37" max="37" width="3.125" customWidth="1"/>
    <col min="38" max="38" width="22.5" customWidth="1"/>
    <col min="40" max="40" width="3.625" customWidth="1"/>
    <col min="41" max="41" width="20.125" bestFit="1" customWidth="1"/>
  </cols>
  <sheetData>
    <row r="1" spans="1:42" ht="26.25">
      <c r="A1" s="193" t="s">
        <v>569</v>
      </c>
      <c r="B1" s="197"/>
      <c r="C1" s="197"/>
      <c r="D1" s="197"/>
      <c r="E1" s="193" t="s">
        <v>1374</v>
      </c>
      <c r="F1" s="197">
        <f>SUM(F3:F12)</f>
        <v>169.60000000000002</v>
      </c>
      <c r="G1" s="8"/>
      <c r="H1" s="193" t="s">
        <v>557</v>
      </c>
      <c r="I1" s="197">
        <f>SUM(I3:I12)</f>
        <v>173.65</v>
      </c>
      <c r="J1" s="8"/>
      <c r="K1" s="193" t="s">
        <v>566</v>
      </c>
      <c r="L1" s="197">
        <f>SUM(L3:L12)</f>
        <v>181.15000000000003</v>
      </c>
      <c r="M1" s="267"/>
      <c r="N1" s="193" t="s">
        <v>222</v>
      </c>
      <c r="O1" s="197">
        <f>SUM(O3:O12)</f>
        <v>177.45000000000002</v>
      </c>
      <c r="P1" s="267"/>
      <c r="Q1" s="193" t="s">
        <v>99</v>
      </c>
      <c r="R1" s="197">
        <f>SUM(R3:R12)</f>
        <v>181.60000000000002</v>
      </c>
      <c r="S1" s="267"/>
      <c r="T1" s="193" t="s">
        <v>562</v>
      </c>
      <c r="U1" s="197">
        <f>SUM(U3:U12)</f>
        <v>187.10000000000005</v>
      </c>
      <c r="V1" s="267"/>
      <c r="W1" s="193" t="s">
        <v>1380</v>
      </c>
      <c r="X1" s="197">
        <f>SUM(X3:X12)</f>
        <v>174.25000000000003</v>
      </c>
      <c r="Y1" s="267"/>
      <c r="Z1" s="193" t="s">
        <v>563</v>
      </c>
      <c r="AA1" s="197">
        <f>SUM(AA3:AA12)</f>
        <v>181.90000000000003</v>
      </c>
      <c r="AB1" s="267"/>
      <c r="AC1" s="193" t="s">
        <v>572</v>
      </c>
      <c r="AD1" s="197">
        <f>SUM(AD3:AD12)</f>
        <v>180.60000000000002</v>
      </c>
      <c r="AE1" s="267"/>
      <c r="AF1" s="193" t="s">
        <v>573</v>
      </c>
      <c r="AG1" s="197">
        <f>SUM(AG3:AG12)</f>
        <v>179.5</v>
      </c>
      <c r="AH1" s="267"/>
      <c r="AI1" s="193" t="s">
        <v>1379</v>
      </c>
      <c r="AJ1" s="197">
        <f>SUM(AJ3:AJ12)</f>
        <v>169.75000000000003</v>
      </c>
      <c r="AL1" s="193" t="s">
        <v>1373</v>
      </c>
      <c r="AM1" s="197">
        <f>SUM(AM3:AM12)</f>
        <v>152.4</v>
      </c>
      <c r="AO1" s="193" t="s">
        <v>574</v>
      </c>
      <c r="AP1" s="197">
        <f>SUM(AP3:AP12)</f>
        <v>182.09999999999997</v>
      </c>
    </row>
    <row r="2" spans="1:42" ht="18.75">
      <c r="A2" s="200" t="s">
        <v>12</v>
      </c>
      <c r="B2" s="200" t="s">
        <v>570</v>
      </c>
      <c r="C2" s="201" t="s">
        <v>11</v>
      </c>
      <c r="D2" s="195"/>
      <c r="E2" s="195" t="s">
        <v>567</v>
      </c>
      <c r="F2" s="196" t="s">
        <v>5</v>
      </c>
      <c r="G2" s="8"/>
      <c r="H2" s="195" t="s">
        <v>567</v>
      </c>
      <c r="I2" s="196" t="s">
        <v>5</v>
      </c>
      <c r="J2" s="8"/>
      <c r="K2" s="195" t="s">
        <v>567</v>
      </c>
      <c r="L2" s="196" t="s">
        <v>5</v>
      </c>
      <c r="M2" s="267"/>
      <c r="N2" s="195" t="s">
        <v>567</v>
      </c>
      <c r="O2" s="196" t="s">
        <v>5</v>
      </c>
      <c r="P2" s="267"/>
      <c r="Q2" s="195" t="s">
        <v>567</v>
      </c>
      <c r="R2" s="196" t="s">
        <v>5</v>
      </c>
      <c r="S2" s="267"/>
      <c r="T2" s="195" t="s">
        <v>567</v>
      </c>
      <c r="U2" s="196" t="s">
        <v>5</v>
      </c>
      <c r="V2" s="267"/>
      <c r="W2" s="195" t="s">
        <v>567</v>
      </c>
      <c r="X2" s="196" t="s">
        <v>5</v>
      </c>
      <c r="Y2" s="267"/>
      <c r="Z2" s="195" t="s">
        <v>567</v>
      </c>
      <c r="AA2" s="196" t="s">
        <v>5</v>
      </c>
      <c r="AB2" s="267"/>
      <c r="AC2" s="195" t="s">
        <v>567</v>
      </c>
      <c r="AD2" s="196" t="s">
        <v>5</v>
      </c>
      <c r="AE2" s="267"/>
      <c r="AF2" s="195" t="s">
        <v>567</v>
      </c>
      <c r="AG2" s="196" t="s">
        <v>5</v>
      </c>
      <c r="AH2" s="267"/>
      <c r="AI2" s="195" t="s">
        <v>567</v>
      </c>
      <c r="AJ2" s="196" t="s">
        <v>5</v>
      </c>
      <c r="AL2" s="195" t="s">
        <v>567</v>
      </c>
      <c r="AM2" s="196" t="s">
        <v>5</v>
      </c>
      <c r="AO2" s="195" t="s">
        <v>567</v>
      </c>
      <c r="AP2" s="196" t="s">
        <v>5</v>
      </c>
    </row>
    <row r="3" spans="1:42" ht="18.75">
      <c r="A3" s="202" t="s">
        <v>1374</v>
      </c>
      <c r="B3" s="203">
        <f t="shared" ref="B3" si="0">F1</f>
        <v>169.60000000000002</v>
      </c>
      <c r="C3" s="40">
        <f t="shared" ref="C3:C15" si="1">SUMPRODUCT((B$3:B$15&gt;B3)/COUNTIF(B$3:B$15,B$3:B$15&amp;""))+1</f>
        <v>12</v>
      </c>
      <c r="D3" s="46"/>
      <c r="E3" s="93" t="s">
        <v>141</v>
      </c>
      <c r="F3" s="68">
        <v>17.899999999999999</v>
      </c>
      <c r="G3" s="8"/>
      <c r="H3" s="166" t="s">
        <v>295</v>
      </c>
      <c r="I3" s="384">
        <v>18.7</v>
      </c>
      <c r="J3" s="8"/>
      <c r="K3" s="93" t="s">
        <v>353</v>
      </c>
      <c r="L3" s="384">
        <v>19.350000000000001</v>
      </c>
      <c r="M3" s="267"/>
      <c r="N3" s="95" t="s">
        <v>847</v>
      </c>
      <c r="O3" s="384">
        <v>18.299999999999997</v>
      </c>
      <c r="P3" s="267"/>
      <c r="Q3" s="93" t="s">
        <v>98</v>
      </c>
      <c r="R3" s="68">
        <v>18.950000000000003</v>
      </c>
      <c r="S3" s="267"/>
      <c r="T3" s="95" t="s">
        <v>423</v>
      </c>
      <c r="U3" s="68">
        <v>19.200000000000003</v>
      </c>
      <c r="V3" s="267"/>
      <c r="W3" s="93" t="s">
        <v>166</v>
      </c>
      <c r="X3" s="430">
        <v>18.850000000000001</v>
      </c>
      <c r="Y3" s="267"/>
      <c r="Z3" s="93" t="s">
        <v>1164</v>
      </c>
      <c r="AA3" s="68">
        <v>18.8</v>
      </c>
      <c r="AB3" s="267"/>
      <c r="AC3" s="93" t="s">
        <v>101</v>
      </c>
      <c r="AD3" s="430">
        <v>18.649999999999999</v>
      </c>
      <c r="AE3" s="267"/>
      <c r="AF3" s="93" t="s">
        <v>51</v>
      </c>
      <c r="AG3" s="68">
        <v>19.5</v>
      </c>
      <c r="AH3" s="267"/>
      <c r="AI3" s="16" t="s">
        <v>939</v>
      </c>
      <c r="AJ3" s="68">
        <v>18.45</v>
      </c>
      <c r="AL3" s="95" t="s">
        <v>224</v>
      </c>
      <c r="AM3" s="68">
        <v>18</v>
      </c>
      <c r="AO3" s="93" t="s">
        <v>968</v>
      </c>
      <c r="AP3" s="68">
        <v>19.600000000000001</v>
      </c>
    </row>
    <row r="4" spans="1:42" ht="18.75">
      <c r="A4" s="202" t="s">
        <v>557</v>
      </c>
      <c r="B4" s="203">
        <f>I1</f>
        <v>173.65</v>
      </c>
      <c r="C4" s="40">
        <f t="shared" si="1"/>
        <v>10</v>
      </c>
      <c r="D4" s="46"/>
      <c r="E4" s="95" t="s">
        <v>614</v>
      </c>
      <c r="F4" s="68">
        <v>17.350000000000001</v>
      </c>
      <c r="G4" s="8"/>
      <c r="H4" s="166" t="s">
        <v>151</v>
      </c>
      <c r="I4" s="384">
        <v>17.75</v>
      </c>
      <c r="J4" s="8"/>
      <c r="K4" s="93" t="s">
        <v>352</v>
      </c>
      <c r="L4" s="384">
        <v>19.200000000000003</v>
      </c>
      <c r="M4" s="267"/>
      <c r="N4" s="95" t="s">
        <v>845</v>
      </c>
      <c r="O4" s="68">
        <v>18.25</v>
      </c>
      <c r="P4" s="267"/>
      <c r="Q4" s="93" t="s">
        <v>882</v>
      </c>
      <c r="R4" s="430">
        <v>18.649999999999999</v>
      </c>
      <c r="S4" s="267"/>
      <c r="T4" s="93" t="s">
        <v>422</v>
      </c>
      <c r="U4" s="384">
        <v>19.100000000000001</v>
      </c>
      <c r="V4" s="267"/>
      <c r="W4" s="93" t="s">
        <v>165</v>
      </c>
      <c r="X4" s="430">
        <v>18.3</v>
      </c>
      <c r="Y4" s="267"/>
      <c r="Z4" s="93" t="s">
        <v>477</v>
      </c>
      <c r="AA4" s="68">
        <v>18.75</v>
      </c>
      <c r="AB4" s="267"/>
      <c r="AC4" s="93" t="s">
        <v>206</v>
      </c>
      <c r="AD4" s="430">
        <v>18.450000000000003</v>
      </c>
      <c r="AE4" s="267"/>
      <c r="AF4" s="93" t="s">
        <v>694</v>
      </c>
      <c r="AG4" s="68">
        <v>18.649999999999999</v>
      </c>
      <c r="AH4" s="267"/>
      <c r="AI4" s="16" t="s">
        <v>933</v>
      </c>
      <c r="AJ4" s="68">
        <v>17.5</v>
      </c>
      <c r="AL4" s="95" t="s">
        <v>595</v>
      </c>
      <c r="AM4" s="68">
        <v>17.200000000000003</v>
      </c>
      <c r="AO4" s="95" t="s">
        <v>976</v>
      </c>
      <c r="AP4" s="68">
        <v>18.55</v>
      </c>
    </row>
    <row r="5" spans="1:42" ht="18.75">
      <c r="A5" s="206" t="s">
        <v>566</v>
      </c>
      <c r="B5" s="207">
        <f>L1</f>
        <v>181.15000000000003</v>
      </c>
      <c r="C5" s="40">
        <f t="shared" si="1"/>
        <v>5</v>
      </c>
      <c r="D5" s="46"/>
      <c r="E5" s="425" t="s">
        <v>621</v>
      </c>
      <c r="F5" s="68">
        <v>17.149999999999999</v>
      </c>
      <c r="G5" s="8"/>
      <c r="H5" s="93" t="s">
        <v>737</v>
      </c>
      <c r="I5" s="384">
        <v>17.450000000000003</v>
      </c>
      <c r="J5" s="8"/>
      <c r="K5" s="93" t="s">
        <v>348</v>
      </c>
      <c r="L5" s="384">
        <v>19.100000000000001</v>
      </c>
      <c r="M5" s="267"/>
      <c r="N5" s="95" t="s">
        <v>103</v>
      </c>
      <c r="O5" s="68">
        <v>18.100000000000001</v>
      </c>
      <c r="P5" s="267"/>
      <c r="Q5" s="93" t="s">
        <v>160</v>
      </c>
      <c r="R5" s="68">
        <v>18.5</v>
      </c>
      <c r="S5" s="267"/>
      <c r="T5" s="93" t="s">
        <v>426</v>
      </c>
      <c r="U5" s="384">
        <v>18.950000000000003</v>
      </c>
      <c r="V5" s="267"/>
      <c r="W5" s="95" t="s">
        <v>1120</v>
      </c>
      <c r="X5" s="68">
        <v>17.899999999999999</v>
      </c>
      <c r="Y5" s="267"/>
      <c r="Z5" s="93" t="s">
        <v>1161</v>
      </c>
      <c r="AA5" s="68">
        <v>18.2</v>
      </c>
      <c r="AB5" s="267"/>
      <c r="AC5" s="240" t="s">
        <v>1240</v>
      </c>
      <c r="AD5" s="68">
        <v>18.3</v>
      </c>
      <c r="AE5" s="267"/>
      <c r="AF5" s="93" t="s">
        <v>149</v>
      </c>
      <c r="AG5" s="68">
        <v>18.350000000000001</v>
      </c>
      <c r="AH5" s="267"/>
      <c r="AI5" s="95" t="s">
        <v>930</v>
      </c>
      <c r="AJ5" s="68">
        <v>17.450000000000003</v>
      </c>
      <c r="AL5" s="95" t="s">
        <v>1338</v>
      </c>
      <c r="AM5" s="68">
        <v>17.2</v>
      </c>
      <c r="AO5" s="93" t="s">
        <v>163</v>
      </c>
      <c r="AP5" s="68">
        <v>18.5</v>
      </c>
    </row>
    <row r="6" spans="1:42" ht="18.75">
      <c r="A6" s="206" t="s">
        <v>222</v>
      </c>
      <c r="B6" s="207">
        <f>O1</f>
        <v>177.45000000000002</v>
      </c>
      <c r="C6" s="40">
        <f t="shared" si="1"/>
        <v>8</v>
      </c>
      <c r="D6" s="46"/>
      <c r="E6" s="95" t="s">
        <v>138</v>
      </c>
      <c r="F6" s="68">
        <v>17.100000000000001</v>
      </c>
      <c r="G6" s="8"/>
      <c r="H6" s="357" t="s">
        <v>733</v>
      </c>
      <c r="I6" s="68">
        <v>17.399999999999999</v>
      </c>
      <c r="J6" s="8"/>
      <c r="K6" s="93" t="s">
        <v>345</v>
      </c>
      <c r="L6" s="384">
        <v>18.5</v>
      </c>
      <c r="M6" s="267"/>
      <c r="N6" s="95" t="s">
        <v>846</v>
      </c>
      <c r="O6" s="68">
        <v>18.05</v>
      </c>
      <c r="P6" s="267"/>
      <c r="Q6" s="93" t="s">
        <v>367</v>
      </c>
      <c r="R6" s="68">
        <v>18.100000000000001</v>
      </c>
      <c r="S6" s="267"/>
      <c r="T6" s="93" t="s">
        <v>410</v>
      </c>
      <c r="U6" s="384">
        <v>18.850000000000001</v>
      </c>
      <c r="V6" s="267"/>
      <c r="W6" s="93" t="s">
        <v>462</v>
      </c>
      <c r="X6" s="68">
        <v>17.399999999999999</v>
      </c>
      <c r="Y6" s="267"/>
      <c r="Z6" s="93" t="s">
        <v>18</v>
      </c>
      <c r="AA6" s="68">
        <v>18.2</v>
      </c>
      <c r="AB6" s="267"/>
      <c r="AC6" s="93" t="s">
        <v>207</v>
      </c>
      <c r="AD6" s="430">
        <v>18.049999999999997</v>
      </c>
      <c r="AE6" s="267"/>
      <c r="AF6" s="93" t="s">
        <v>50</v>
      </c>
      <c r="AG6" s="68">
        <v>18.299999999999997</v>
      </c>
      <c r="AH6" s="267"/>
      <c r="AI6" s="416" t="s">
        <v>940</v>
      </c>
      <c r="AJ6" s="68">
        <v>17.149999999999999</v>
      </c>
      <c r="AL6" s="95" t="s">
        <v>1339</v>
      </c>
      <c r="AM6" s="68">
        <v>17.05</v>
      </c>
      <c r="AO6" s="93" t="s">
        <v>966</v>
      </c>
      <c r="AP6" s="68">
        <v>18.399999999999999</v>
      </c>
    </row>
    <row r="7" spans="1:42" ht="18.75">
      <c r="A7" s="206" t="s">
        <v>99</v>
      </c>
      <c r="B7" s="207">
        <f>R1</f>
        <v>181.60000000000002</v>
      </c>
      <c r="C7" s="40">
        <f t="shared" si="1"/>
        <v>4</v>
      </c>
      <c r="D7" s="46"/>
      <c r="E7" s="95" t="s">
        <v>31</v>
      </c>
      <c r="F7" s="68">
        <v>17</v>
      </c>
      <c r="G7" s="8"/>
      <c r="H7" s="357" t="s">
        <v>740</v>
      </c>
      <c r="I7" s="68">
        <v>17.3</v>
      </c>
      <c r="J7" s="8"/>
      <c r="K7" s="93" t="s">
        <v>351</v>
      </c>
      <c r="L7" s="384">
        <v>18.399999999999999</v>
      </c>
      <c r="M7" s="267"/>
      <c r="N7" s="95" t="s">
        <v>840</v>
      </c>
      <c r="O7" s="68">
        <v>17.95</v>
      </c>
      <c r="P7" s="267"/>
      <c r="Q7" s="93" t="s">
        <v>880</v>
      </c>
      <c r="R7" s="68">
        <v>18.05</v>
      </c>
      <c r="S7" s="267"/>
      <c r="T7" s="95" t="s">
        <v>435</v>
      </c>
      <c r="U7" s="68">
        <f>'INT 16&amp;A MX'!F11</f>
        <v>18.799999999999997</v>
      </c>
      <c r="V7" s="267"/>
      <c r="W7" s="240" t="s">
        <v>1359</v>
      </c>
      <c r="X7" s="68">
        <v>17.25</v>
      </c>
      <c r="Y7" s="267"/>
      <c r="Z7" s="93" t="s">
        <v>1162</v>
      </c>
      <c r="AA7" s="68">
        <v>18.100000000000001</v>
      </c>
      <c r="AB7" s="267"/>
      <c r="AC7" s="95" t="s">
        <v>527</v>
      </c>
      <c r="AD7" s="68">
        <v>18</v>
      </c>
      <c r="AE7" s="267"/>
      <c r="AF7" s="93" t="s">
        <v>695</v>
      </c>
      <c r="AG7" s="68">
        <v>18.299999999999997</v>
      </c>
      <c r="AH7" s="267"/>
      <c r="AI7" s="416" t="s">
        <v>935</v>
      </c>
      <c r="AJ7" s="68">
        <v>17</v>
      </c>
      <c r="AL7" s="108" t="s">
        <v>594</v>
      </c>
      <c r="AM7" s="68">
        <v>17</v>
      </c>
      <c r="AO7" s="95" t="s">
        <v>974</v>
      </c>
      <c r="AP7" s="68">
        <v>18.399999999999999</v>
      </c>
    </row>
    <row r="8" spans="1:42" ht="18.75">
      <c r="A8" s="206" t="s">
        <v>562</v>
      </c>
      <c r="B8" s="207">
        <f>U1</f>
        <v>187.10000000000005</v>
      </c>
      <c r="C8" s="40">
        <f t="shared" si="1"/>
        <v>1</v>
      </c>
      <c r="D8" s="46"/>
      <c r="E8" s="95" t="s">
        <v>618</v>
      </c>
      <c r="F8" s="68">
        <v>17</v>
      </c>
      <c r="G8" s="8"/>
      <c r="H8" s="357" t="s">
        <v>293</v>
      </c>
      <c r="I8" s="68">
        <v>17.299999999999997</v>
      </c>
      <c r="J8" s="8"/>
      <c r="K8" s="95" t="s">
        <v>346</v>
      </c>
      <c r="L8" s="430">
        <v>17.450000000000003</v>
      </c>
      <c r="M8" s="267"/>
      <c r="N8" s="95" t="s">
        <v>158</v>
      </c>
      <c r="O8" s="68">
        <v>17.649999999999999</v>
      </c>
      <c r="P8" s="267"/>
      <c r="Q8" s="108" t="s">
        <v>162</v>
      </c>
      <c r="R8" s="68">
        <v>18</v>
      </c>
      <c r="S8" s="267"/>
      <c r="T8" s="108" t="s">
        <v>434</v>
      </c>
      <c r="U8" s="68">
        <f>'INT 16&amp;A MX'!F12</f>
        <v>18.649999999999999</v>
      </c>
      <c r="V8" s="267"/>
      <c r="W8" s="95" t="s">
        <v>1123</v>
      </c>
      <c r="X8" s="68">
        <v>17.100000000000001</v>
      </c>
      <c r="Y8" s="267"/>
      <c r="Z8" s="95" t="s">
        <v>176</v>
      </c>
      <c r="AA8" s="68">
        <v>18.05</v>
      </c>
      <c r="AB8" s="267"/>
      <c r="AC8" s="95" t="s">
        <v>526</v>
      </c>
      <c r="AD8" s="68">
        <v>17.95</v>
      </c>
      <c r="AE8" s="267"/>
      <c r="AF8" s="93" t="s">
        <v>272</v>
      </c>
      <c r="AG8" s="68">
        <v>17.75</v>
      </c>
      <c r="AH8" s="267"/>
      <c r="AI8" s="95" t="s">
        <v>931</v>
      </c>
      <c r="AJ8" s="68">
        <v>16.899999999999999</v>
      </c>
      <c r="AL8" s="95" t="s">
        <v>593</v>
      </c>
      <c r="AM8" s="68">
        <v>16.95</v>
      </c>
      <c r="AO8" s="108" t="s">
        <v>752</v>
      </c>
      <c r="AP8" s="68">
        <v>18</v>
      </c>
    </row>
    <row r="9" spans="1:42" ht="18.75">
      <c r="A9" s="206" t="s">
        <v>1380</v>
      </c>
      <c r="B9" s="207">
        <f>X1</f>
        <v>174.25000000000003</v>
      </c>
      <c r="C9" s="40">
        <f t="shared" si="1"/>
        <v>9</v>
      </c>
      <c r="D9" s="46"/>
      <c r="E9" s="95" t="s">
        <v>617</v>
      </c>
      <c r="F9" s="68">
        <v>16.850000000000001</v>
      </c>
      <c r="G9" s="8"/>
      <c r="H9" s="95" t="s">
        <v>744</v>
      </c>
      <c r="I9" s="384">
        <v>17.149999999999999</v>
      </c>
      <c r="J9" s="8"/>
      <c r="K9" s="95" t="s">
        <v>814</v>
      </c>
      <c r="L9" s="430">
        <v>17.45</v>
      </c>
      <c r="M9" s="267"/>
      <c r="N9" s="95" t="s">
        <v>844</v>
      </c>
      <c r="O9" s="68">
        <v>17.55</v>
      </c>
      <c r="P9" s="267"/>
      <c r="Q9" s="93" t="s">
        <v>161</v>
      </c>
      <c r="R9" s="68">
        <v>17.95</v>
      </c>
      <c r="S9" s="267"/>
      <c r="T9" s="93" t="s">
        <v>425</v>
      </c>
      <c r="U9" s="384">
        <v>18.549999999999997</v>
      </c>
      <c r="V9" s="267"/>
      <c r="W9" s="95" t="s">
        <v>1114</v>
      </c>
      <c r="X9" s="68">
        <v>17.05</v>
      </c>
      <c r="Y9" s="267"/>
      <c r="Z9" s="95" t="s">
        <v>1156</v>
      </c>
      <c r="AA9" s="68">
        <v>18</v>
      </c>
      <c r="AB9" s="267"/>
      <c r="AC9" s="93" t="s">
        <v>199</v>
      </c>
      <c r="AD9" s="68">
        <v>17.850000000000001</v>
      </c>
      <c r="AE9" s="267"/>
      <c r="AF9" s="95" t="s">
        <v>271</v>
      </c>
      <c r="AG9" s="68">
        <v>17.700000000000003</v>
      </c>
      <c r="AH9" s="267"/>
      <c r="AI9" s="108" t="s">
        <v>932</v>
      </c>
      <c r="AJ9" s="68">
        <v>16.649999999999999</v>
      </c>
      <c r="AL9" s="95" t="s">
        <v>592</v>
      </c>
      <c r="AM9" s="68">
        <v>16.75</v>
      </c>
      <c r="AO9" s="95" t="s">
        <v>977</v>
      </c>
      <c r="AP9" s="68">
        <v>17.95</v>
      </c>
    </row>
    <row r="10" spans="1:42" ht="18.75">
      <c r="A10" s="206" t="s">
        <v>563</v>
      </c>
      <c r="B10" s="207">
        <f>AA1</f>
        <v>181.90000000000003</v>
      </c>
      <c r="C10" s="40">
        <f t="shared" si="1"/>
        <v>3</v>
      </c>
      <c r="D10" s="46"/>
      <c r="E10" s="95" t="s">
        <v>619</v>
      </c>
      <c r="F10" s="384">
        <v>16.649999999999999</v>
      </c>
      <c r="G10" s="8"/>
      <c r="H10" s="357" t="s">
        <v>743</v>
      </c>
      <c r="I10" s="68">
        <v>16.899999999999999</v>
      </c>
      <c r="J10" s="8"/>
      <c r="K10" s="95" t="s">
        <v>357</v>
      </c>
      <c r="L10" s="430">
        <v>17.350000000000001</v>
      </c>
      <c r="M10" s="267"/>
      <c r="N10" s="95" t="s">
        <v>842</v>
      </c>
      <c r="O10" s="68">
        <v>17.5</v>
      </c>
      <c r="P10" s="267"/>
      <c r="Q10" s="93" t="s">
        <v>879</v>
      </c>
      <c r="R10" s="430">
        <v>17.8</v>
      </c>
      <c r="S10" s="267"/>
      <c r="T10" s="93" t="s">
        <v>413</v>
      </c>
      <c r="U10" s="384">
        <v>18.399999999999999</v>
      </c>
      <c r="V10" s="267"/>
      <c r="W10" s="95" t="s">
        <v>1113</v>
      </c>
      <c r="X10" s="68">
        <v>17</v>
      </c>
      <c r="Y10" s="267"/>
      <c r="Z10" s="95" t="s">
        <v>478</v>
      </c>
      <c r="AA10" s="430">
        <v>18</v>
      </c>
      <c r="AB10" s="267"/>
      <c r="AC10" s="93" t="s">
        <v>197</v>
      </c>
      <c r="AD10" s="68">
        <v>17.8</v>
      </c>
      <c r="AE10" s="267"/>
      <c r="AF10" s="95" t="s">
        <v>274</v>
      </c>
      <c r="AG10" s="68">
        <v>17.100000000000001</v>
      </c>
      <c r="AH10" s="267"/>
      <c r="AI10" s="16" t="s">
        <v>936</v>
      </c>
      <c r="AJ10" s="68">
        <v>16.600000000000001</v>
      </c>
      <c r="AL10" s="95" t="s">
        <v>461</v>
      </c>
      <c r="AM10" s="68">
        <v>16.350000000000001</v>
      </c>
      <c r="AO10" s="95" t="s">
        <v>979</v>
      </c>
      <c r="AP10" s="68">
        <v>17.799999999999997</v>
      </c>
    </row>
    <row r="11" spans="1:42" ht="18.75">
      <c r="A11" s="206" t="s">
        <v>572</v>
      </c>
      <c r="B11" s="207">
        <f>AD1</f>
        <v>180.60000000000002</v>
      </c>
      <c r="C11" s="40">
        <f t="shared" si="1"/>
        <v>6</v>
      </c>
      <c r="D11" s="46"/>
      <c r="E11" s="95" t="s">
        <v>615</v>
      </c>
      <c r="F11" s="68">
        <v>16.55</v>
      </c>
      <c r="G11" s="8"/>
      <c r="H11" s="95" t="s">
        <v>747</v>
      </c>
      <c r="I11" s="68">
        <v>16.850000000000001</v>
      </c>
      <c r="J11" s="8"/>
      <c r="K11" s="95" t="s">
        <v>356</v>
      </c>
      <c r="L11" s="68">
        <v>17.3</v>
      </c>
      <c r="M11" s="267"/>
      <c r="N11" s="95" t="s">
        <v>841</v>
      </c>
      <c r="O11" s="68">
        <v>17.25</v>
      </c>
      <c r="P11" s="267"/>
      <c r="Q11" s="93" t="s">
        <v>881</v>
      </c>
      <c r="R11" s="430">
        <v>17.8</v>
      </c>
      <c r="S11" s="267"/>
      <c r="T11" s="95" t="s">
        <v>400</v>
      </c>
      <c r="U11" s="68">
        <v>18.3</v>
      </c>
      <c r="V11" s="267"/>
      <c r="W11" s="95" t="s">
        <v>1122</v>
      </c>
      <c r="X11" s="384">
        <v>16.899999999999999</v>
      </c>
      <c r="Y11" s="267"/>
      <c r="Z11" s="95" t="s">
        <v>180</v>
      </c>
      <c r="AA11" s="430">
        <v>18</v>
      </c>
      <c r="AB11" s="267"/>
      <c r="AC11" s="93" t="s">
        <v>1253</v>
      </c>
      <c r="AD11" s="68">
        <v>17.799999999999997</v>
      </c>
      <c r="AE11" s="267"/>
      <c r="AF11" s="95" t="s">
        <v>150</v>
      </c>
      <c r="AG11" s="68">
        <v>16.95</v>
      </c>
      <c r="AH11" s="267"/>
      <c r="AI11" s="16" t="s">
        <v>934</v>
      </c>
      <c r="AJ11" s="68">
        <v>16.5</v>
      </c>
      <c r="AL11" s="95" t="s">
        <v>1337</v>
      </c>
      <c r="AM11" s="68">
        <v>15.899999999999999</v>
      </c>
      <c r="AO11" s="95" t="s">
        <v>971</v>
      </c>
      <c r="AP11" s="68">
        <v>17.450000000000003</v>
      </c>
    </row>
    <row r="12" spans="1:42" s="390" customFormat="1" ht="18.75">
      <c r="A12" s="206" t="s">
        <v>573</v>
      </c>
      <c r="B12" s="207">
        <f>AG1</f>
        <v>179.5</v>
      </c>
      <c r="C12" s="40">
        <f t="shared" si="1"/>
        <v>7</v>
      </c>
      <c r="D12" s="391"/>
      <c r="E12" s="95" t="s">
        <v>620</v>
      </c>
      <c r="F12" s="68">
        <v>16.05</v>
      </c>
      <c r="H12" s="93" t="s">
        <v>152</v>
      </c>
      <c r="I12" s="384">
        <v>16.850000000000001</v>
      </c>
      <c r="K12" s="95" t="s">
        <v>354</v>
      </c>
      <c r="L12" s="68">
        <v>17.05</v>
      </c>
      <c r="M12" s="393"/>
      <c r="N12" s="95" t="s">
        <v>843</v>
      </c>
      <c r="O12" s="68">
        <v>16.850000000000001</v>
      </c>
      <c r="P12" s="393"/>
      <c r="Q12" s="95" t="s">
        <v>878</v>
      </c>
      <c r="R12" s="68">
        <v>17.799999999999997</v>
      </c>
      <c r="S12" s="393"/>
      <c r="T12" s="95" t="s">
        <v>402</v>
      </c>
      <c r="U12" s="68">
        <v>18.3</v>
      </c>
      <c r="V12" s="393"/>
      <c r="W12" s="95" t="s">
        <v>1118</v>
      </c>
      <c r="X12" s="68">
        <v>16.5</v>
      </c>
      <c r="Y12" s="393"/>
      <c r="Z12" s="95" t="s">
        <v>1184</v>
      </c>
      <c r="AA12" s="68">
        <v>17.8</v>
      </c>
      <c r="AB12" s="393"/>
      <c r="AC12" s="93" t="s">
        <v>205</v>
      </c>
      <c r="AD12" s="430">
        <v>17.75</v>
      </c>
      <c r="AE12" s="393"/>
      <c r="AF12" s="95" t="s">
        <v>83</v>
      </c>
      <c r="AG12" s="68">
        <v>16.899999999999999</v>
      </c>
      <c r="AH12" s="393"/>
      <c r="AI12" s="16" t="s">
        <v>941</v>
      </c>
      <c r="AJ12" s="68">
        <v>15.55</v>
      </c>
      <c r="AL12" s="95" t="s">
        <v>590</v>
      </c>
      <c r="AM12" s="68">
        <v>0</v>
      </c>
      <c r="AO12" s="95" t="s">
        <v>375</v>
      </c>
      <c r="AP12" s="68">
        <v>17.45</v>
      </c>
    </row>
    <row r="13" spans="1:42" ht="18.75">
      <c r="A13" s="206" t="s">
        <v>1379</v>
      </c>
      <c r="B13" s="207">
        <f>AJ1</f>
        <v>169.75000000000003</v>
      </c>
      <c r="C13" s="40">
        <f t="shared" si="1"/>
        <v>11</v>
      </c>
      <c r="E13" s="108" t="s">
        <v>613</v>
      </c>
      <c r="F13" s="68">
        <v>15.9</v>
      </c>
      <c r="G13" s="8"/>
      <c r="H13" s="95" t="s">
        <v>741</v>
      </c>
      <c r="I13" s="68">
        <v>16.8</v>
      </c>
      <c r="J13" s="8"/>
      <c r="K13" s="95" t="s">
        <v>361</v>
      </c>
      <c r="L13" s="68">
        <v>16.899999999999999</v>
      </c>
      <c r="M13" s="267"/>
      <c r="N13" s="107"/>
      <c r="O13" s="68"/>
      <c r="P13" s="267"/>
      <c r="Q13" s="180" t="s">
        <v>368</v>
      </c>
      <c r="R13" s="68">
        <v>17.649999999999999</v>
      </c>
      <c r="S13" s="267"/>
      <c r="T13" s="95" t="s">
        <v>401</v>
      </c>
      <c r="U13" s="68">
        <v>18.100000000000001</v>
      </c>
      <c r="V13" s="267"/>
      <c r="W13" s="95" t="s">
        <v>1111</v>
      </c>
      <c r="X13" s="68">
        <v>16.399999999999999</v>
      </c>
      <c r="Y13" s="267"/>
      <c r="Z13" s="95" t="s">
        <v>1182</v>
      </c>
      <c r="AA13" s="68">
        <v>17.799999999999997</v>
      </c>
      <c r="AB13" s="267"/>
      <c r="AC13" s="93" t="s">
        <v>200</v>
      </c>
      <c r="AD13" s="68">
        <v>17.649999999999999</v>
      </c>
      <c r="AE13" s="267"/>
      <c r="AF13" s="95" t="s">
        <v>703</v>
      </c>
      <c r="AG13" s="68">
        <v>16.75</v>
      </c>
      <c r="AH13" s="267"/>
      <c r="AI13" s="16" t="s">
        <v>942</v>
      </c>
      <c r="AJ13" s="68">
        <v>0</v>
      </c>
      <c r="AL13" s="108" t="s">
        <v>591</v>
      </c>
      <c r="AM13" s="68">
        <v>0</v>
      </c>
      <c r="AO13" s="95" t="s">
        <v>961</v>
      </c>
      <c r="AP13" s="68">
        <v>17.399999999999999</v>
      </c>
    </row>
    <row r="14" spans="1:42" ht="18.75">
      <c r="A14" s="206" t="s">
        <v>1373</v>
      </c>
      <c r="B14" s="207">
        <f>AM1</f>
        <v>152.4</v>
      </c>
      <c r="C14" s="40">
        <f t="shared" si="1"/>
        <v>13</v>
      </c>
      <c r="E14" s="95" t="s">
        <v>140</v>
      </c>
      <c r="F14" s="68">
        <v>15.6</v>
      </c>
      <c r="G14" s="8"/>
      <c r="H14" s="95" t="s">
        <v>285</v>
      </c>
      <c r="I14" s="68">
        <v>16.8</v>
      </c>
      <c r="J14" s="8"/>
      <c r="K14" s="95" t="s">
        <v>343</v>
      </c>
      <c r="L14" s="430">
        <v>16.8</v>
      </c>
      <c r="M14" s="267"/>
      <c r="N14" s="107"/>
      <c r="O14" s="68"/>
      <c r="P14" s="267"/>
      <c r="Q14" s="100" t="s">
        <v>101</v>
      </c>
      <c r="R14" s="430">
        <v>17.649999999999999</v>
      </c>
      <c r="S14" s="267"/>
      <c r="T14" s="95" t="s">
        <v>417</v>
      </c>
      <c r="U14" s="68">
        <v>18</v>
      </c>
      <c r="V14" s="267"/>
      <c r="W14" s="93" t="s">
        <v>464</v>
      </c>
      <c r="X14" s="68">
        <v>16.350000000000001</v>
      </c>
      <c r="Y14" s="267"/>
      <c r="Z14" s="95" t="s">
        <v>91</v>
      </c>
      <c r="AA14" s="430">
        <v>17.75</v>
      </c>
      <c r="AB14" s="267"/>
      <c r="AC14" s="93" t="s">
        <v>1254</v>
      </c>
      <c r="AD14" s="68">
        <v>17.600000000000001</v>
      </c>
      <c r="AE14" s="267"/>
      <c r="AF14" s="95" t="s">
        <v>273</v>
      </c>
      <c r="AG14" s="68">
        <v>16.5</v>
      </c>
      <c r="AH14" s="267"/>
      <c r="AI14" s="108" t="s">
        <v>929</v>
      </c>
      <c r="AJ14" s="68">
        <v>0</v>
      </c>
      <c r="AL14" s="108" t="s">
        <v>225</v>
      </c>
      <c r="AM14" s="68">
        <v>0</v>
      </c>
      <c r="AO14" s="93" t="s">
        <v>969</v>
      </c>
      <c r="AP14" s="68">
        <v>17.3</v>
      </c>
    </row>
    <row r="15" spans="1:42" ht="18.75">
      <c r="A15" s="206" t="s">
        <v>574</v>
      </c>
      <c r="B15" s="207">
        <f>AP1</f>
        <v>182.09999999999997</v>
      </c>
      <c r="C15" s="40">
        <f t="shared" si="1"/>
        <v>2</v>
      </c>
      <c r="E15" s="376" t="s">
        <v>616</v>
      </c>
      <c r="F15" s="68">
        <v>15.3</v>
      </c>
      <c r="G15" s="8"/>
      <c r="H15" s="95" t="s">
        <v>734</v>
      </c>
      <c r="I15" s="68">
        <v>16.8</v>
      </c>
      <c r="J15" s="8"/>
      <c r="K15" s="95" t="s">
        <v>344</v>
      </c>
      <c r="L15" s="430">
        <v>16.8</v>
      </c>
      <c r="M15" s="267"/>
      <c r="N15" s="107"/>
      <c r="O15" s="68"/>
      <c r="P15" s="267"/>
      <c r="Q15" s="93" t="s">
        <v>100</v>
      </c>
      <c r="R15" s="430">
        <v>17.399999999999999</v>
      </c>
      <c r="S15" s="267"/>
      <c r="T15" s="95" t="s">
        <v>418</v>
      </c>
      <c r="U15" s="68">
        <v>18</v>
      </c>
      <c r="V15" s="267"/>
      <c r="W15" s="95" t="s">
        <v>1119</v>
      </c>
      <c r="X15" s="68">
        <v>15.700000000000001</v>
      </c>
      <c r="Y15" s="267"/>
      <c r="Z15" s="95" t="s">
        <v>1176</v>
      </c>
      <c r="AA15" s="68">
        <v>17.649999999999999</v>
      </c>
      <c r="AB15" s="267"/>
      <c r="AC15" s="95" t="s">
        <v>1246</v>
      </c>
      <c r="AD15" s="68">
        <v>17.549999999999997</v>
      </c>
      <c r="AE15" s="267"/>
      <c r="AF15" s="95" t="s">
        <v>48</v>
      </c>
      <c r="AG15" s="68">
        <v>16.25</v>
      </c>
      <c r="AH15" s="267"/>
      <c r="AJ15" s="68"/>
      <c r="AO15" s="95" t="s">
        <v>978</v>
      </c>
      <c r="AP15" s="68">
        <v>17.3</v>
      </c>
    </row>
    <row r="16" spans="1:42">
      <c r="F16"/>
      <c r="G16" s="8"/>
      <c r="H16" s="95" t="s">
        <v>296</v>
      </c>
      <c r="I16" s="68">
        <v>16.8</v>
      </c>
      <c r="J16" s="8"/>
      <c r="K16" s="95" t="s">
        <v>820</v>
      </c>
      <c r="L16" s="68">
        <v>16.799999999999997</v>
      </c>
      <c r="M16" s="267"/>
      <c r="N16" s="68"/>
      <c r="O16" s="68"/>
      <c r="P16" s="267"/>
      <c r="Q16" s="95" t="s">
        <v>364</v>
      </c>
      <c r="R16" s="68">
        <v>17.3</v>
      </c>
      <c r="S16" s="267"/>
      <c r="T16" s="95" t="s">
        <v>431</v>
      </c>
      <c r="U16" s="68">
        <v>18</v>
      </c>
      <c r="V16" s="267"/>
      <c r="W16" s="95" t="s">
        <v>463</v>
      </c>
      <c r="X16" s="68">
        <v>15.2</v>
      </c>
      <c r="Y16" s="267"/>
      <c r="Z16" s="95" t="s">
        <v>1183</v>
      </c>
      <c r="AA16" s="68">
        <v>17.649999999999999</v>
      </c>
      <c r="AB16" s="267"/>
      <c r="AC16" s="93" t="s">
        <v>198</v>
      </c>
      <c r="AD16" s="68">
        <v>17.45</v>
      </c>
      <c r="AE16" s="267"/>
      <c r="AF16" s="95" t="s">
        <v>276</v>
      </c>
      <c r="AG16" s="68">
        <v>16.25</v>
      </c>
      <c r="AH16" s="267"/>
      <c r="AJ16" s="68"/>
      <c r="AO16" s="95" t="s">
        <v>975</v>
      </c>
      <c r="AP16" s="68">
        <v>17.25</v>
      </c>
    </row>
    <row r="17" spans="6:42">
      <c r="F17"/>
      <c r="G17" s="8"/>
      <c r="H17" s="95" t="s">
        <v>736</v>
      </c>
      <c r="I17" s="430">
        <v>16.7</v>
      </c>
      <c r="J17" s="8"/>
      <c r="K17" s="95" t="s">
        <v>467</v>
      </c>
      <c r="L17" s="68">
        <v>16.75</v>
      </c>
      <c r="M17" s="267"/>
      <c r="N17" s="267"/>
      <c r="O17" s="68"/>
      <c r="P17" s="267"/>
      <c r="Q17" s="95" t="s">
        <v>885</v>
      </c>
      <c r="R17" s="68">
        <v>17.149999999999999</v>
      </c>
      <c r="S17" s="267"/>
      <c r="T17" s="95" t="s">
        <v>433</v>
      </c>
      <c r="U17" s="68">
        <v>17.950000000000003</v>
      </c>
      <c r="V17" s="267"/>
      <c r="W17" s="95" t="s">
        <v>1121</v>
      </c>
      <c r="X17" s="68">
        <v>14.05</v>
      </c>
      <c r="Y17" s="267"/>
      <c r="Z17" s="93" t="s">
        <v>1159</v>
      </c>
      <c r="AA17" s="68">
        <v>17.649999999999999</v>
      </c>
      <c r="AB17" s="267"/>
      <c r="AC17" s="95" t="s">
        <v>1245</v>
      </c>
      <c r="AD17" s="68">
        <v>17.3</v>
      </c>
      <c r="AE17" s="267"/>
      <c r="AF17" s="95" t="s">
        <v>692</v>
      </c>
      <c r="AG17" s="68">
        <v>16.149999999999999</v>
      </c>
      <c r="AH17" s="267"/>
      <c r="AJ17" s="68"/>
      <c r="AO17" s="93" t="s">
        <v>967</v>
      </c>
      <c r="AP17" s="68">
        <v>17.100000000000001</v>
      </c>
    </row>
    <row r="18" spans="6:42">
      <c r="F18"/>
      <c r="G18" s="8"/>
      <c r="H18" s="95" t="s">
        <v>291</v>
      </c>
      <c r="I18" s="68">
        <v>16.55</v>
      </c>
      <c r="J18" s="8"/>
      <c r="K18" s="95" t="s">
        <v>466</v>
      </c>
      <c r="L18" s="68">
        <v>16.75</v>
      </c>
      <c r="M18" s="267"/>
      <c r="N18" s="267"/>
      <c r="O18" s="68"/>
      <c r="P18" s="267"/>
      <c r="Q18" s="95" t="s">
        <v>366</v>
      </c>
      <c r="R18" s="68">
        <v>17.100000000000001</v>
      </c>
      <c r="S18" s="267"/>
      <c r="T18" s="95" t="s">
        <v>419</v>
      </c>
      <c r="U18" s="68">
        <v>17.95</v>
      </c>
      <c r="V18" s="267"/>
      <c r="W18" s="95" t="s">
        <v>1112</v>
      </c>
      <c r="X18" s="68">
        <v>0</v>
      </c>
      <c r="Y18" s="267"/>
      <c r="Z18" s="95" t="s">
        <v>1174</v>
      </c>
      <c r="AA18" s="68">
        <v>17.600000000000001</v>
      </c>
      <c r="AB18" s="267"/>
      <c r="AC18" s="95" t="s">
        <v>1247</v>
      </c>
      <c r="AD18" s="68">
        <v>17.3</v>
      </c>
      <c r="AE18" s="267"/>
      <c r="AF18" s="95" t="s">
        <v>82</v>
      </c>
      <c r="AG18" s="68">
        <v>16.100000000000001</v>
      </c>
      <c r="AH18" s="267"/>
      <c r="AJ18" s="68"/>
      <c r="AO18" s="95" t="s">
        <v>374</v>
      </c>
      <c r="AP18" s="68">
        <v>17.049999999999997</v>
      </c>
    </row>
    <row r="19" spans="6:42">
      <c r="F19"/>
      <c r="G19" s="8"/>
      <c r="H19" s="95" t="s">
        <v>466</v>
      </c>
      <c r="I19" s="430">
        <v>16.45</v>
      </c>
      <c r="J19" s="8"/>
      <c r="K19" s="95" t="s">
        <v>341</v>
      </c>
      <c r="L19" s="68">
        <v>16.7</v>
      </c>
      <c r="M19" s="267"/>
      <c r="N19" s="267"/>
      <c r="O19" s="68"/>
      <c r="P19" s="267"/>
      <c r="Q19" s="95" t="s">
        <v>365</v>
      </c>
      <c r="R19" s="68">
        <v>17.05</v>
      </c>
      <c r="S19" s="267"/>
      <c r="T19" s="95" t="s">
        <v>421</v>
      </c>
      <c r="U19" s="68">
        <v>17.700000000000003</v>
      </c>
      <c r="V19" s="267"/>
      <c r="W19" s="365" t="s">
        <v>1358</v>
      </c>
      <c r="X19" s="68">
        <v>0</v>
      </c>
      <c r="Y19" s="267"/>
      <c r="Z19" s="95" t="s">
        <v>1185</v>
      </c>
      <c r="AA19" s="68">
        <v>17.600000000000001</v>
      </c>
      <c r="AB19" s="267"/>
      <c r="AC19" s="95" t="s">
        <v>1248</v>
      </c>
      <c r="AD19" s="384">
        <v>17.299999999999997</v>
      </c>
      <c r="AE19" s="267"/>
      <c r="AF19" s="95" t="s">
        <v>702</v>
      </c>
      <c r="AG19" s="68">
        <v>15.5</v>
      </c>
      <c r="AH19" s="267"/>
      <c r="AJ19" s="68"/>
      <c r="AO19" s="95" t="s">
        <v>957</v>
      </c>
      <c r="AP19" s="68">
        <v>16.899999999999999</v>
      </c>
    </row>
    <row r="20" spans="6:42">
      <c r="F20"/>
      <c r="G20" s="8"/>
      <c r="H20" s="95" t="s">
        <v>738</v>
      </c>
      <c r="I20" s="431">
        <v>16.45</v>
      </c>
      <c r="J20" s="8"/>
      <c r="K20" s="95" t="s">
        <v>816</v>
      </c>
      <c r="L20" s="431">
        <v>16.55</v>
      </c>
      <c r="M20" s="267"/>
      <c r="N20" s="267"/>
      <c r="O20" s="68"/>
      <c r="P20" s="267"/>
      <c r="Q20" s="108" t="s">
        <v>876</v>
      </c>
      <c r="R20" s="68">
        <v>17</v>
      </c>
      <c r="S20" s="267"/>
      <c r="T20" s="95" t="s">
        <v>403</v>
      </c>
      <c r="U20" s="431">
        <v>17.600000000000001</v>
      </c>
      <c r="V20" s="267"/>
      <c r="W20" s="240" t="s">
        <v>1360</v>
      </c>
      <c r="X20" s="68">
        <v>0</v>
      </c>
      <c r="Y20" s="267"/>
      <c r="Z20" s="93" t="s">
        <v>1160</v>
      </c>
      <c r="AA20" s="68">
        <v>17.600000000000001</v>
      </c>
      <c r="AB20" s="267"/>
      <c r="AC20" s="93" t="s">
        <v>196</v>
      </c>
      <c r="AD20" s="68">
        <v>17.25</v>
      </c>
      <c r="AE20" s="267"/>
      <c r="AF20" s="95" t="s">
        <v>277</v>
      </c>
      <c r="AG20" s="68">
        <v>15.45</v>
      </c>
      <c r="AH20" s="267"/>
      <c r="AJ20" s="68"/>
      <c r="AO20" s="204" t="s">
        <v>958</v>
      </c>
      <c r="AP20" s="68">
        <v>16.75</v>
      </c>
    </row>
    <row r="21" spans="6:42">
      <c r="F21"/>
      <c r="G21" s="8"/>
      <c r="H21" s="95" t="s">
        <v>748</v>
      </c>
      <c r="I21" s="431">
        <v>16.2</v>
      </c>
      <c r="J21" s="8"/>
      <c r="K21" s="95" t="s">
        <v>340</v>
      </c>
      <c r="L21" s="431">
        <v>16.55</v>
      </c>
      <c r="M21" s="267"/>
      <c r="N21" s="267"/>
      <c r="O21" s="68"/>
      <c r="P21" s="267"/>
      <c r="Q21" s="108" t="s">
        <v>884</v>
      </c>
      <c r="R21" s="431">
        <v>16.95</v>
      </c>
      <c r="S21" s="267"/>
      <c r="T21" s="95" t="s">
        <v>420</v>
      </c>
      <c r="U21" s="431">
        <v>17.549999999999997</v>
      </c>
      <c r="V21" s="267"/>
      <c r="W21" s="93" t="s">
        <v>1116</v>
      </c>
      <c r="X21" s="431">
        <v>0</v>
      </c>
      <c r="Y21" s="267"/>
      <c r="Z21" s="93" t="s">
        <v>476</v>
      </c>
      <c r="AA21" s="431">
        <v>17.549999999999997</v>
      </c>
      <c r="AB21" s="267"/>
      <c r="AC21" s="93" t="s">
        <v>1252</v>
      </c>
      <c r="AD21" s="68">
        <v>16.850000000000001</v>
      </c>
      <c r="AE21" s="267"/>
      <c r="AF21" s="95" t="s">
        <v>84</v>
      </c>
      <c r="AG21" s="68">
        <v>7.45</v>
      </c>
      <c r="AH21" s="267"/>
      <c r="AJ21" s="68"/>
      <c r="AO21" s="204" t="s">
        <v>972</v>
      </c>
      <c r="AP21" s="68">
        <v>16.7</v>
      </c>
    </row>
    <row r="22" spans="6:42">
      <c r="F22"/>
      <c r="G22" s="8"/>
      <c r="H22" s="95" t="s">
        <v>739</v>
      </c>
      <c r="I22" s="431">
        <v>16.2</v>
      </c>
      <c r="J22" s="8"/>
      <c r="K22" s="95" t="s">
        <v>349</v>
      </c>
      <c r="L22" s="431">
        <v>16.55</v>
      </c>
      <c r="M22" s="267"/>
      <c r="N22" s="267"/>
      <c r="O22" s="68"/>
      <c r="P22" s="267"/>
      <c r="Q22" s="95" t="s">
        <v>886</v>
      </c>
      <c r="R22" s="431">
        <v>16.649999999999999</v>
      </c>
      <c r="S22" s="267"/>
      <c r="T22" s="95" t="s">
        <v>1030</v>
      </c>
      <c r="U22" s="431">
        <v>17.5</v>
      </c>
      <c r="V22" s="267"/>
      <c r="W22" s="93" t="s">
        <v>1117</v>
      </c>
      <c r="X22" s="431">
        <v>0</v>
      </c>
      <c r="Y22" s="267"/>
      <c r="Z22" s="95" t="s">
        <v>1175</v>
      </c>
      <c r="AA22" s="431">
        <v>17.450000000000003</v>
      </c>
      <c r="AB22" s="267"/>
      <c r="AC22" s="93" t="s">
        <v>1244</v>
      </c>
      <c r="AD22" s="431">
        <v>16.75</v>
      </c>
      <c r="AE22" s="267"/>
      <c r="AF22" s="267"/>
      <c r="AG22" s="267"/>
      <c r="AH22" s="267"/>
      <c r="AO22" s="204" t="s">
        <v>955</v>
      </c>
      <c r="AP22" s="68">
        <v>16.649999999999999</v>
      </c>
    </row>
    <row r="23" spans="6:42">
      <c r="F23"/>
      <c r="G23" s="8"/>
      <c r="H23" s="95" t="s">
        <v>746</v>
      </c>
      <c r="I23" s="68">
        <v>16</v>
      </c>
      <c r="J23" s="8"/>
      <c r="K23" s="95" t="s">
        <v>817</v>
      </c>
      <c r="L23" s="431">
        <v>16.549999999999997</v>
      </c>
      <c r="M23" s="267"/>
      <c r="N23" s="267"/>
      <c r="O23" s="68"/>
      <c r="P23" s="267"/>
      <c r="Q23" s="95" t="s">
        <v>877</v>
      </c>
      <c r="R23" s="431">
        <v>16.350000000000001</v>
      </c>
      <c r="S23" s="267"/>
      <c r="T23" s="95" t="s">
        <v>1046</v>
      </c>
      <c r="U23" s="431">
        <v>17.350000000000001</v>
      </c>
      <c r="V23" s="267"/>
      <c r="W23" s="107"/>
      <c r="X23" s="68"/>
      <c r="Y23" s="267"/>
      <c r="Z23" s="95" t="s">
        <v>1180</v>
      </c>
      <c r="AA23" s="431">
        <v>17.299999999999997</v>
      </c>
      <c r="AB23" s="267"/>
      <c r="AC23" s="93" t="s">
        <v>1241</v>
      </c>
      <c r="AD23" s="431">
        <v>16.700000000000003</v>
      </c>
      <c r="AE23" s="267"/>
      <c r="AF23" s="267"/>
      <c r="AG23" s="267"/>
      <c r="AH23" s="267"/>
      <c r="AO23" s="205" t="s">
        <v>959</v>
      </c>
      <c r="AP23" s="68">
        <v>16.649999999999999</v>
      </c>
    </row>
    <row r="24" spans="6:42">
      <c r="F24"/>
      <c r="G24" s="8"/>
      <c r="H24" s="95" t="s">
        <v>742</v>
      </c>
      <c r="I24" s="68">
        <v>15.899999999999999</v>
      </c>
      <c r="J24" s="8"/>
      <c r="K24" s="95" t="s">
        <v>358</v>
      </c>
      <c r="L24" s="431">
        <v>16.350000000000001</v>
      </c>
      <c r="M24" s="267"/>
      <c r="N24" s="267"/>
      <c r="O24" s="68"/>
      <c r="P24" s="267"/>
      <c r="Q24" s="365" t="s">
        <v>1357</v>
      </c>
      <c r="R24" s="431">
        <v>16.149999999999999</v>
      </c>
      <c r="S24" s="267"/>
      <c r="T24" s="95" t="s">
        <v>1031</v>
      </c>
      <c r="U24" s="431">
        <v>17.3</v>
      </c>
      <c r="V24" s="267"/>
      <c r="W24" s="107"/>
      <c r="X24" s="68"/>
      <c r="Y24" s="267"/>
      <c r="Z24" s="95" t="s">
        <v>1177</v>
      </c>
      <c r="AA24" s="431">
        <v>17.149999999999999</v>
      </c>
      <c r="AB24" s="267"/>
      <c r="AC24" s="93" t="s">
        <v>1242</v>
      </c>
      <c r="AD24" s="431">
        <v>16.25</v>
      </c>
      <c r="AE24" s="267"/>
      <c r="AF24" s="267"/>
      <c r="AG24" s="267"/>
      <c r="AH24" s="267"/>
      <c r="AO24" s="204" t="s">
        <v>376</v>
      </c>
      <c r="AP24" s="68">
        <v>16.600000000000001</v>
      </c>
    </row>
    <row r="25" spans="6:42">
      <c r="F25"/>
      <c r="G25" s="8"/>
      <c r="H25" s="95" t="s">
        <v>745</v>
      </c>
      <c r="I25" s="68">
        <v>14.45</v>
      </c>
      <c r="J25" s="8"/>
      <c r="K25" s="95" t="s">
        <v>360</v>
      </c>
      <c r="L25" s="68">
        <v>16.350000000000001</v>
      </c>
      <c r="M25" s="267"/>
      <c r="N25" s="267"/>
      <c r="O25" s="68"/>
      <c r="P25" s="267"/>
      <c r="Q25" s="95" t="s">
        <v>883</v>
      </c>
      <c r="R25" s="431">
        <v>16.100000000000001</v>
      </c>
      <c r="S25" s="267"/>
      <c r="T25" s="95" t="s">
        <v>447</v>
      </c>
      <c r="U25" s="68">
        <v>17.25</v>
      </c>
      <c r="V25" s="267"/>
      <c r="W25" s="107"/>
      <c r="X25" s="68"/>
      <c r="Y25" s="267"/>
      <c r="Z25" s="95" t="s">
        <v>1179</v>
      </c>
      <c r="AA25" s="431">
        <v>17.149999999999999</v>
      </c>
      <c r="AB25" s="267"/>
      <c r="AC25" s="93" t="s">
        <v>1243</v>
      </c>
      <c r="AD25" s="431">
        <v>0</v>
      </c>
      <c r="AE25" s="267"/>
      <c r="AF25" s="267"/>
      <c r="AG25" s="267"/>
      <c r="AH25" s="267"/>
      <c r="AO25" s="198" t="s">
        <v>970</v>
      </c>
      <c r="AP25" s="68">
        <v>16.55</v>
      </c>
    </row>
    <row r="26" spans="6:42">
      <c r="F26"/>
      <c r="G26" s="8"/>
      <c r="H26" s="95" t="s">
        <v>155</v>
      </c>
      <c r="I26" s="68">
        <v>0</v>
      </c>
      <c r="J26" s="8"/>
      <c r="K26" s="95" t="s">
        <v>338</v>
      </c>
      <c r="L26" s="68">
        <v>16.350000000000001</v>
      </c>
      <c r="M26" s="267"/>
      <c r="N26" s="267"/>
      <c r="O26" s="68"/>
      <c r="P26" s="267"/>
      <c r="Q26" s="100" t="s">
        <v>102</v>
      </c>
      <c r="R26" s="392">
        <v>8.6</v>
      </c>
      <c r="S26" s="267"/>
      <c r="T26" s="95" t="s">
        <v>405</v>
      </c>
      <c r="U26" s="68">
        <f>'INT 15&amp;U MX'!Q13</f>
        <v>17.200000000000003</v>
      </c>
      <c r="V26" s="267"/>
      <c r="W26" s="107"/>
      <c r="X26" s="68"/>
      <c r="Y26" s="267"/>
      <c r="Z26" s="95" t="s">
        <v>1168</v>
      </c>
      <c r="AA26" s="431">
        <v>17.149999999999999</v>
      </c>
      <c r="AB26" s="267"/>
      <c r="AC26" s="267"/>
      <c r="AD26" s="267"/>
      <c r="AE26" s="267"/>
      <c r="AF26" s="267"/>
      <c r="AG26" s="267"/>
      <c r="AH26" s="267"/>
      <c r="AO26" s="204" t="s">
        <v>963</v>
      </c>
      <c r="AP26" s="68">
        <v>16.402000000000001</v>
      </c>
    </row>
    <row r="27" spans="6:42">
      <c r="F27"/>
      <c r="G27" s="8"/>
      <c r="H27" s="204" t="s">
        <v>735</v>
      </c>
      <c r="I27" s="68">
        <v>0</v>
      </c>
      <c r="J27" s="8"/>
      <c r="K27" s="95" t="s">
        <v>819</v>
      </c>
      <c r="L27" s="68">
        <v>16.200000000000003</v>
      </c>
      <c r="M27" s="267"/>
      <c r="N27" s="267"/>
      <c r="O27" s="68"/>
      <c r="P27" s="267"/>
      <c r="Q27" s="107"/>
      <c r="R27" s="384"/>
      <c r="S27" s="267"/>
      <c r="T27" s="95" t="s">
        <v>1035</v>
      </c>
      <c r="U27" s="68">
        <v>17.2</v>
      </c>
      <c r="V27" s="267"/>
      <c r="W27" s="107"/>
      <c r="X27" s="68"/>
      <c r="Y27" s="267"/>
      <c r="Z27" s="95" t="s">
        <v>1167</v>
      </c>
      <c r="AA27" s="68">
        <v>17.05</v>
      </c>
      <c r="AB27" s="267"/>
      <c r="AC27" s="267"/>
      <c r="AD27" s="267"/>
      <c r="AE27" s="267"/>
      <c r="AF27" s="267"/>
      <c r="AG27" s="267"/>
      <c r="AH27" s="267"/>
      <c r="AO27" s="205" t="s">
        <v>960</v>
      </c>
      <c r="AP27" s="68">
        <v>16.399999999999999</v>
      </c>
    </row>
    <row r="28" spans="6:42">
      <c r="F28"/>
      <c r="G28" s="8"/>
      <c r="H28" s="205" t="s">
        <v>154</v>
      </c>
      <c r="I28" s="384">
        <v>0</v>
      </c>
      <c r="J28" s="8"/>
      <c r="K28" s="95" t="s">
        <v>336</v>
      </c>
      <c r="L28" s="68">
        <v>16.05</v>
      </c>
      <c r="M28" s="267"/>
      <c r="N28" s="267"/>
      <c r="O28" s="68"/>
      <c r="P28" s="267"/>
      <c r="Q28" s="107"/>
      <c r="R28" s="384"/>
      <c r="S28" s="267"/>
      <c r="T28" s="95" t="s">
        <v>1038</v>
      </c>
      <c r="U28" s="68">
        <v>17.100000000000001</v>
      </c>
      <c r="V28" s="267"/>
      <c r="W28" s="107"/>
      <c r="X28" s="68"/>
      <c r="Y28" s="267"/>
      <c r="Z28" s="95" t="s">
        <v>1169</v>
      </c>
      <c r="AA28" s="68">
        <v>17.05</v>
      </c>
      <c r="AB28" s="267"/>
      <c r="AC28" s="267"/>
      <c r="AD28" s="267"/>
      <c r="AE28" s="267"/>
      <c r="AF28" s="267"/>
      <c r="AG28" s="267"/>
      <c r="AH28" s="267"/>
      <c r="AO28" s="204" t="s">
        <v>964</v>
      </c>
      <c r="AP28" s="68">
        <v>15.95</v>
      </c>
    </row>
    <row r="29" spans="6:42">
      <c r="F29"/>
      <c r="G29" s="8"/>
      <c r="H29" s="205" t="s">
        <v>59</v>
      </c>
      <c r="I29" s="430">
        <v>0</v>
      </c>
      <c r="J29" s="8"/>
      <c r="K29" s="95" t="s">
        <v>818</v>
      </c>
      <c r="L29" s="68">
        <v>15.2</v>
      </c>
      <c r="M29" s="267"/>
      <c r="N29" s="267"/>
      <c r="O29" s="68"/>
      <c r="P29" s="267"/>
      <c r="Q29" s="107"/>
      <c r="R29" s="384"/>
      <c r="S29" s="267"/>
      <c r="T29" s="95" t="s">
        <v>1044</v>
      </c>
      <c r="U29" s="68">
        <v>16.95</v>
      </c>
      <c r="V29" s="267"/>
      <c r="W29" s="107"/>
      <c r="X29" s="68"/>
      <c r="Y29" s="267"/>
      <c r="Z29" s="95" t="s">
        <v>1166</v>
      </c>
      <c r="AA29" s="68">
        <v>16.899999999999999</v>
      </c>
      <c r="AB29" s="267"/>
      <c r="AC29" s="267"/>
      <c r="AD29" s="267"/>
      <c r="AE29" s="267"/>
      <c r="AF29" s="267"/>
      <c r="AG29" s="267"/>
      <c r="AH29" s="267"/>
      <c r="AO29" s="204" t="s">
        <v>962</v>
      </c>
      <c r="AP29" s="68">
        <v>15.600000000000001</v>
      </c>
    </row>
    <row r="30" spans="6:42">
      <c r="F30"/>
      <c r="G30" s="8"/>
      <c r="J30" s="8"/>
      <c r="K30" s="267"/>
      <c r="L30" s="267"/>
      <c r="M30" s="267"/>
      <c r="N30" s="267"/>
      <c r="O30" s="68"/>
      <c r="P30" s="267"/>
      <c r="Q30" s="107"/>
      <c r="R30" s="68"/>
      <c r="S30" s="267"/>
      <c r="T30" s="95" t="s">
        <v>412</v>
      </c>
      <c r="U30" s="68">
        <v>16.899999999999999</v>
      </c>
      <c r="V30" s="267"/>
      <c r="W30" s="107"/>
      <c r="X30" s="68"/>
      <c r="Y30" s="267"/>
      <c r="Z30" s="95" t="s">
        <v>1178</v>
      </c>
      <c r="AA30" s="68">
        <v>16.850000000000001</v>
      </c>
      <c r="AB30" s="267"/>
      <c r="AC30" s="267"/>
      <c r="AD30" s="267"/>
      <c r="AE30" s="267"/>
      <c r="AF30" s="267"/>
      <c r="AG30" s="267"/>
      <c r="AH30" s="267"/>
      <c r="AO30" s="204" t="s">
        <v>956</v>
      </c>
      <c r="AP30" s="68">
        <v>15.45</v>
      </c>
    </row>
    <row r="31" spans="6:42">
      <c r="F31"/>
      <c r="G31" s="8"/>
      <c r="J31" s="8"/>
      <c r="K31" s="267"/>
      <c r="L31" s="267"/>
      <c r="M31" s="267"/>
      <c r="N31" s="267"/>
      <c r="O31" s="267"/>
      <c r="P31" s="267"/>
      <c r="Q31" s="107"/>
      <c r="R31" s="68"/>
      <c r="S31" s="267"/>
      <c r="T31" s="205" t="s">
        <v>1037</v>
      </c>
      <c r="U31" s="68">
        <v>16.75</v>
      </c>
      <c r="V31" s="267"/>
      <c r="W31" s="107"/>
      <c r="X31" s="68"/>
      <c r="Y31" s="267"/>
      <c r="Z31" s="95" t="s">
        <v>19</v>
      </c>
      <c r="AA31" s="68">
        <v>16.7</v>
      </c>
      <c r="AB31" s="267"/>
      <c r="AC31" s="267"/>
      <c r="AD31" s="267"/>
      <c r="AE31" s="267"/>
      <c r="AF31" s="267"/>
      <c r="AG31" s="267"/>
      <c r="AH31" s="267"/>
      <c r="AO31" s="205" t="s">
        <v>973</v>
      </c>
      <c r="AP31" s="68">
        <v>0</v>
      </c>
    </row>
    <row r="32" spans="6:42">
      <c r="F32"/>
      <c r="G32" s="8"/>
      <c r="J32" s="8"/>
      <c r="K32" s="267"/>
      <c r="L32" s="267"/>
      <c r="M32" s="267"/>
      <c r="N32" s="267"/>
      <c r="O32" s="267"/>
      <c r="P32" s="267"/>
      <c r="Q32" s="267"/>
      <c r="R32" s="68"/>
      <c r="S32" s="267"/>
      <c r="T32" s="204" t="s">
        <v>1036</v>
      </c>
      <c r="U32" s="68">
        <v>16.7</v>
      </c>
      <c r="V32" s="267"/>
      <c r="W32" s="107"/>
      <c r="X32" s="68"/>
      <c r="Y32" s="267"/>
      <c r="Z32" s="95" t="s">
        <v>177</v>
      </c>
      <c r="AA32" s="68">
        <v>16.5</v>
      </c>
      <c r="AB32" s="267"/>
      <c r="AC32" s="267"/>
      <c r="AD32" s="267"/>
      <c r="AE32" s="267"/>
      <c r="AF32" s="267"/>
      <c r="AG32" s="267"/>
      <c r="AH32" s="267"/>
    </row>
    <row r="33" spans="5:34">
      <c r="E33" s="41"/>
      <c r="F33" s="41"/>
      <c r="G33" s="8"/>
      <c r="J33" s="8"/>
      <c r="K33" s="267"/>
      <c r="L33" s="267"/>
      <c r="M33" s="267"/>
      <c r="N33" s="267"/>
      <c r="O33" s="267"/>
      <c r="P33" s="267"/>
      <c r="Q33" s="267"/>
      <c r="R33" s="267"/>
      <c r="S33" s="267"/>
      <c r="T33" s="204" t="s">
        <v>1025</v>
      </c>
      <c r="U33" s="68">
        <v>16.7</v>
      </c>
      <c r="V33" s="267"/>
      <c r="W33" s="107"/>
      <c r="X33" s="68"/>
      <c r="Y33" s="267"/>
      <c r="Z33" s="95" t="s">
        <v>31</v>
      </c>
      <c r="AA33" s="68">
        <v>16.25</v>
      </c>
      <c r="AB33" s="267"/>
      <c r="AC33" s="267"/>
      <c r="AD33" s="267"/>
      <c r="AE33" s="267"/>
      <c r="AF33" s="267"/>
      <c r="AG33" s="267"/>
      <c r="AH33" s="267"/>
    </row>
    <row r="34" spans="5:34">
      <c r="E34" s="41"/>
      <c r="F34" s="41"/>
      <c r="G34" s="8"/>
      <c r="H34" s="8"/>
      <c r="J34" s="8"/>
      <c r="K34" s="267"/>
      <c r="L34" s="267"/>
      <c r="M34" s="267"/>
      <c r="N34" s="267"/>
      <c r="O34" s="267"/>
      <c r="P34" s="267"/>
      <c r="Q34" s="267"/>
      <c r="R34" s="267"/>
      <c r="S34" s="267"/>
      <c r="T34" s="204" t="s">
        <v>1039</v>
      </c>
      <c r="U34" s="68">
        <v>16.600000000000001</v>
      </c>
      <c r="V34" s="267"/>
      <c r="W34" s="107"/>
      <c r="X34" s="68"/>
      <c r="Y34" s="267"/>
      <c r="Z34" s="95" t="s">
        <v>172</v>
      </c>
      <c r="AA34" s="68">
        <v>16.25</v>
      </c>
      <c r="AB34" s="267"/>
      <c r="AC34" s="267"/>
      <c r="AD34" s="267"/>
      <c r="AE34" s="267"/>
      <c r="AF34" s="267"/>
      <c r="AG34" s="267"/>
      <c r="AH34" s="267"/>
    </row>
    <row r="35" spans="5:34">
      <c r="E35" s="41"/>
      <c r="F35" s="41"/>
      <c r="H35" s="8"/>
      <c r="K35" s="267"/>
      <c r="L35" s="267"/>
      <c r="M35" s="267"/>
      <c r="N35" s="267"/>
      <c r="O35" s="267"/>
      <c r="P35" s="267"/>
      <c r="Q35" s="267"/>
      <c r="R35" s="267"/>
      <c r="S35" s="267"/>
      <c r="T35" s="205" t="s">
        <v>411</v>
      </c>
      <c r="U35" s="68">
        <v>16.600000000000001</v>
      </c>
      <c r="V35" s="267"/>
      <c r="W35" s="107"/>
      <c r="X35" s="68"/>
      <c r="Y35" s="267"/>
      <c r="Z35" s="95" t="s">
        <v>1158</v>
      </c>
      <c r="AA35" s="430">
        <v>16.100000000000001</v>
      </c>
      <c r="AB35" s="267"/>
      <c r="AC35" s="267"/>
      <c r="AD35" s="267"/>
      <c r="AE35" s="267"/>
      <c r="AF35" s="267"/>
      <c r="AG35" s="267"/>
      <c r="AH35" s="267"/>
    </row>
    <row r="36" spans="5:34">
      <c r="F36"/>
      <c r="K36" s="267"/>
      <c r="L36" s="267"/>
      <c r="M36" s="267"/>
      <c r="N36" s="267"/>
      <c r="O36" s="267"/>
      <c r="P36" s="267"/>
      <c r="Q36" s="267"/>
      <c r="R36" s="267"/>
      <c r="S36" s="267"/>
      <c r="T36" s="204" t="s">
        <v>399</v>
      </c>
      <c r="U36" s="430">
        <v>16.600000000000001</v>
      </c>
      <c r="V36" s="267"/>
      <c r="W36" s="107"/>
      <c r="X36" s="68"/>
      <c r="Y36" s="267"/>
      <c r="Z36" s="204" t="s">
        <v>178</v>
      </c>
      <c r="AA36" s="68">
        <v>16.049999999999997</v>
      </c>
      <c r="AB36" s="267"/>
      <c r="AC36" s="267"/>
      <c r="AD36" s="267"/>
      <c r="AE36" s="267"/>
      <c r="AF36" s="267"/>
      <c r="AG36" s="267"/>
      <c r="AH36" s="267"/>
    </row>
    <row r="37" spans="5:34">
      <c r="F37"/>
      <c r="K37" s="267"/>
      <c r="L37" s="267"/>
      <c r="M37" s="267"/>
      <c r="N37" s="267"/>
      <c r="O37" s="267"/>
      <c r="P37" s="267"/>
      <c r="Q37" s="267"/>
      <c r="R37" s="267"/>
      <c r="S37" s="267"/>
      <c r="T37" s="204" t="s">
        <v>1026</v>
      </c>
      <c r="U37" s="430">
        <v>16.600000000000001</v>
      </c>
      <c r="V37" s="267"/>
      <c r="W37" s="107"/>
      <c r="X37" s="68"/>
      <c r="Y37" s="267"/>
      <c r="Z37" s="204" t="s">
        <v>179</v>
      </c>
      <c r="AA37" s="430">
        <v>15.9</v>
      </c>
      <c r="AB37" s="267"/>
      <c r="AC37" s="267"/>
      <c r="AD37" s="267"/>
      <c r="AE37" s="267"/>
      <c r="AF37" s="267"/>
      <c r="AG37" s="267"/>
      <c r="AH37" s="267"/>
    </row>
    <row r="38" spans="5:34">
      <c r="F38"/>
      <c r="K38" s="267"/>
      <c r="L38" s="267"/>
      <c r="M38" s="267"/>
      <c r="N38" s="267"/>
      <c r="O38" s="267"/>
      <c r="P38" s="267"/>
      <c r="Q38" s="267"/>
      <c r="R38" s="267"/>
      <c r="S38" s="267"/>
      <c r="T38" s="204" t="s">
        <v>1042</v>
      </c>
      <c r="U38" s="68">
        <v>16.3</v>
      </c>
      <c r="V38" s="267"/>
      <c r="W38" s="107"/>
      <c r="X38" s="68"/>
      <c r="Y38" s="267"/>
      <c r="Z38" s="204" t="s">
        <v>181</v>
      </c>
      <c r="AA38" s="68">
        <v>15.8</v>
      </c>
      <c r="AB38" s="267"/>
      <c r="AC38" s="267"/>
      <c r="AD38" s="267"/>
      <c r="AE38" s="267"/>
      <c r="AF38" s="267"/>
      <c r="AG38" s="267"/>
      <c r="AH38" s="267"/>
    </row>
    <row r="39" spans="5:34">
      <c r="F39"/>
      <c r="K39" s="267"/>
      <c r="L39" s="267"/>
      <c r="M39" s="267"/>
      <c r="N39" s="267"/>
      <c r="O39" s="267"/>
      <c r="P39" s="267"/>
      <c r="Q39" s="267"/>
      <c r="R39" s="267"/>
      <c r="S39" s="267"/>
      <c r="T39" s="204" t="s">
        <v>1041</v>
      </c>
      <c r="U39" s="68">
        <v>16.25</v>
      </c>
      <c r="V39" s="267"/>
      <c r="W39" s="107"/>
      <c r="X39" s="68"/>
      <c r="Y39" s="267"/>
      <c r="Z39" s="205" t="s">
        <v>1165</v>
      </c>
      <c r="AA39" s="68">
        <v>15.8</v>
      </c>
      <c r="AB39" s="267"/>
      <c r="AC39" s="267"/>
      <c r="AD39" s="267"/>
      <c r="AE39" s="267"/>
      <c r="AF39" s="267"/>
      <c r="AG39" s="267"/>
      <c r="AH39" s="267"/>
    </row>
    <row r="40" spans="5:34">
      <c r="F40"/>
      <c r="K40" s="267"/>
      <c r="L40" s="267"/>
      <c r="M40" s="267"/>
      <c r="N40" s="267"/>
      <c r="O40" s="267"/>
      <c r="P40" s="267"/>
      <c r="Q40" s="267"/>
      <c r="R40" s="267"/>
      <c r="S40" s="267"/>
      <c r="T40" s="205" t="s">
        <v>1029</v>
      </c>
      <c r="U40" s="430">
        <v>16.100000000000001</v>
      </c>
      <c r="V40" s="267"/>
      <c r="W40" s="267"/>
      <c r="X40" s="267"/>
      <c r="Y40" s="267"/>
      <c r="Z40" s="204" t="s">
        <v>1157</v>
      </c>
      <c r="AA40" s="68">
        <v>15.6</v>
      </c>
      <c r="AB40" s="267"/>
      <c r="AC40" s="267"/>
      <c r="AD40" s="267"/>
      <c r="AE40" s="267"/>
      <c r="AF40" s="267"/>
      <c r="AG40" s="267"/>
      <c r="AH40" s="267"/>
    </row>
    <row r="41" spans="5:34">
      <c r="F41"/>
      <c r="K41" s="267"/>
      <c r="L41" s="267"/>
      <c r="M41" s="267"/>
      <c r="N41" s="267"/>
      <c r="O41" s="267"/>
      <c r="P41" s="267"/>
      <c r="Q41" s="267"/>
      <c r="R41" s="267"/>
      <c r="S41" s="267"/>
      <c r="T41" s="204" t="s">
        <v>404</v>
      </c>
      <c r="U41" s="68">
        <v>16.05</v>
      </c>
      <c r="V41" s="267"/>
      <c r="W41" s="267"/>
      <c r="X41" s="267"/>
      <c r="Y41" s="267"/>
      <c r="Z41" s="204" t="s">
        <v>1181</v>
      </c>
      <c r="AA41" s="68">
        <v>0</v>
      </c>
      <c r="AB41" s="267"/>
      <c r="AC41" s="267"/>
      <c r="AD41" s="267"/>
      <c r="AE41" s="267"/>
      <c r="AF41" s="267"/>
      <c r="AG41" s="267"/>
      <c r="AH41" s="267"/>
    </row>
    <row r="42" spans="5:34">
      <c r="F42"/>
      <c r="K42" s="267"/>
      <c r="L42" s="267"/>
      <c r="M42" s="267"/>
      <c r="N42" s="267"/>
      <c r="O42" s="267"/>
      <c r="P42" s="267"/>
      <c r="Q42" s="267"/>
      <c r="R42" s="267"/>
      <c r="S42" s="267"/>
      <c r="T42" s="204" t="s">
        <v>1043</v>
      </c>
      <c r="U42" s="68">
        <v>16.049999999999997</v>
      </c>
      <c r="V42" s="267"/>
      <c r="W42" s="267"/>
      <c r="X42" s="267"/>
      <c r="Y42" s="267"/>
      <c r="Z42" s="204" t="s">
        <v>182</v>
      </c>
      <c r="AA42" s="430">
        <v>0</v>
      </c>
      <c r="AB42" s="267"/>
      <c r="AC42" s="267"/>
      <c r="AD42" s="267"/>
      <c r="AE42" s="267"/>
      <c r="AF42" s="267"/>
      <c r="AG42" s="267"/>
      <c r="AH42" s="267"/>
    </row>
    <row r="43" spans="5:34">
      <c r="F43"/>
      <c r="K43" s="267"/>
      <c r="L43" s="267"/>
      <c r="M43" s="267"/>
      <c r="N43" s="267"/>
      <c r="O43" s="267"/>
      <c r="P43" s="267"/>
      <c r="Q43" s="267"/>
      <c r="R43" s="267"/>
      <c r="S43" s="267"/>
      <c r="T43" s="204" t="s">
        <v>1040</v>
      </c>
      <c r="U43" s="384">
        <v>16</v>
      </c>
      <c r="V43" s="267"/>
      <c r="W43" s="267"/>
      <c r="X43" s="267"/>
      <c r="Y43" s="267"/>
      <c r="Z43" s="199" t="s">
        <v>1163</v>
      </c>
      <c r="AA43" s="68">
        <v>0</v>
      </c>
      <c r="AB43" s="267"/>
      <c r="AC43" s="267"/>
      <c r="AD43" s="267"/>
      <c r="AE43" s="267"/>
      <c r="AF43" s="267"/>
      <c r="AG43" s="267"/>
      <c r="AH43" s="267"/>
    </row>
    <row r="44" spans="5:34">
      <c r="F44"/>
      <c r="T44" s="204" t="s">
        <v>1045</v>
      </c>
      <c r="U44" s="68">
        <v>15.95</v>
      </c>
    </row>
    <row r="45" spans="5:34">
      <c r="F45"/>
      <c r="T45" s="205" t="s">
        <v>1027</v>
      </c>
      <c r="U45" s="430">
        <v>15.649999999999999</v>
      </c>
    </row>
    <row r="46" spans="5:34">
      <c r="E46" s="46"/>
      <c r="F46" s="46"/>
      <c r="T46" s="204" t="s">
        <v>1028</v>
      </c>
      <c r="U46" s="430">
        <v>15.45</v>
      </c>
    </row>
    <row r="47" spans="5:34">
      <c r="E47" s="46"/>
      <c r="F47" s="46"/>
      <c r="T47" s="199" t="s">
        <v>424</v>
      </c>
      <c r="U47" s="384">
        <v>0</v>
      </c>
    </row>
    <row r="48" spans="5:34">
      <c r="E48" s="73"/>
      <c r="F48" s="73"/>
      <c r="T48" s="204" t="s">
        <v>393</v>
      </c>
      <c r="U48" s="68">
        <v>0</v>
      </c>
    </row>
    <row r="49" spans="5:21">
      <c r="E49" s="73"/>
      <c r="F49" s="73"/>
      <c r="T49" s="205" t="s">
        <v>432</v>
      </c>
      <c r="U49" s="68">
        <v>0</v>
      </c>
    </row>
    <row r="50" spans="5:21">
      <c r="E50" s="46"/>
      <c r="F50" s="46"/>
    </row>
    <row r="51" spans="5:21">
      <c r="E51" s="46"/>
      <c r="F51" s="46"/>
    </row>
    <row r="52" spans="5:21">
      <c r="E52" s="46"/>
      <c r="F52" s="46"/>
    </row>
    <row r="53" spans="5:21">
      <c r="E53" s="46"/>
      <c r="F53" s="46"/>
    </row>
    <row r="54" spans="5:21">
      <c r="E54" s="192"/>
    </row>
    <row r="55" spans="5:21">
      <c r="E55" s="192"/>
    </row>
    <row r="56" spans="5:21">
      <c r="E56" s="192"/>
    </row>
  </sheetData>
  <phoneticPr fontId="21" type="noConversion"/>
  <conditionalFormatting sqref="C3:C15">
    <cfRule type="cellIs" dxfId="134" priority="1" operator="equal">
      <formula>3</formula>
    </cfRule>
    <cfRule type="cellIs" dxfId="133" priority="2" operator="equal">
      <formula>2</formula>
    </cfRule>
    <cfRule type="cellIs" dxfId="132" priority="3" operator="equal">
      <formula>1</formula>
    </cfRule>
  </conditionalFormatting>
  <pageMargins left="0.75" right="0.75" top="1" bottom="1" header="0.5" footer="0.5"/>
  <pageSetup paperSize="9" scale="23" orientation="landscape" horizontalDpi="4294967292" verticalDpi="4294967292"/>
  <colBreaks count="1" manualBreakCount="1">
    <brk id="43" max="1048575" man="1"/>
  </colBreaks>
  <tableParts count="1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46.xml><?xml version="1.0" encoding="utf-8"?>
<worksheet xmlns="http://schemas.openxmlformats.org/spreadsheetml/2006/main" xmlns:r="http://schemas.openxmlformats.org/officeDocument/2006/relationships">
  <dimension ref="A1:AA56"/>
  <sheetViews>
    <sheetView workbookViewId="0">
      <selection activeCell="E26" sqref="E26"/>
    </sheetView>
  </sheetViews>
  <sheetFormatPr defaultColWidth="11" defaultRowHeight="15.75"/>
  <cols>
    <col min="1" max="1" width="24.125" bestFit="1" customWidth="1"/>
    <col min="2" max="2" width="8.5" customWidth="1"/>
    <col min="3" max="3" width="4.5" customWidth="1"/>
    <col min="4" max="4" width="3.375" customWidth="1"/>
    <col min="5" max="5" width="21.875" bestFit="1" customWidth="1"/>
    <col min="6" max="6" width="11.625" style="192" customWidth="1"/>
    <col min="7" max="7" width="3.875" customWidth="1"/>
    <col min="8" max="8" width="21.625" bestFit="1" customWidth="1"/>
    <col min="10" max="10" width="3.375" customWidth="1"/>
    <col min="11" max="11" width="23" customWidth="1"/>
    <col min="13" max="13" width="4.5" customWidth="1"/>
    <col min="14" max="14" width="21.625" bestFit="1" customWidth="1"/>
    <col min="16" max="16" width="3.125" customWidth="1"/>
    <col min="17" max="17" width="20.125" bestFit="1" customWidth="1"/>
    <col min="19" max="19" width="4.125" customWidth="1"/>
    <col min="20" max="20" width="28" bestFit="1" customWidth="1"/>
    <col min="22" max="22" width="4.5" customWidth="1"/>
    <col min="23" max="23" width="27" customWidth="1"/>
    <col min="25" max="25" width="5.125" customWidth="1"/>
    <col min="26" max="26" width="21" bestFit="1" customWidth="1"/>
  </cols>
  <sheetData>
    <row r="1" spans="1:27" ht="26.25">
      <c r="A1" s="193" t="s">
        <v>569</v>
      </c>
      <c r="B1" s="197"/>
      <c r="C1" s="197"/>
      <c r="D1" s="197"/>
      <c r="E1" s="193" t="s">
        <v>573</v>
      </c>
      <c r="F1" s="197">
        <f>SUM(F3:F12)</f>
        <v>176.65000000000003</v>
      </c>
      <c r="G1" s="8"/>
      <c r="H1" s="193" t="s">
        <v>563</v>
      </c>
      <c r="I1" s="197">
        <f>SUM(I3:I12)</f>
        <v>175.25</v>
      </c>
      <c r="K1" s="193" t="s">
        <v>557</v>
      </c>
      <c r="L1" s="197">
        <f>SUM(L3:L12)</f>
        <v>184.3</v>
      </c>
      <c r="N1" s="193" t="s">
        <v>562</v>
      </c>
      <c r="O1" s="197">
        <f>SUM(O3:O12)</f>
        <v>177.55</v>
      </c>
      <c r="Q1" s="193" t="s">
        <v>572</v>
      </c>
      <c r="R1" s="197">
        <f>SUM(R3:R12)</f>
        <v>189.25</v>
      </c>
      <c r="T1" s="193" t="s">
        <v>535</v>
      </c>
      <c r="U1" s="197">
        <f>SUM(U3:U12)</f>
        <v>180.2</v>
      </c>
      <c r="W1" s="193" t="s">
        <v>575</v>
      </c>
      <c r="X1" s="197">
        <f>SUM(X3:X12)</f>
        <v>182.95</v>
      </c>
      <c r="Z1" s="193" t="s">
        <v>33</v>
      </c>
      <c r="AA1" s="197">
        <f>SUM(AA3:AA12)</f>
        <v>179.70000000000002</v>
      </c>
    </row>
    <row r="2" spans="1:27" ht="18.75">
      <c r="A2" s="200" t="s">
        <v>12</v>
      </c>
      <c r="B2" s="200" t="s">
        <v>570</v>
      </c>
      <c r="C2" s="201" t="s">
        <v>11</v>
      </c>
      <c r="D2" s="195"/>
      <c r="E2" s="195" t="s">
        <v>567</v>
      </c>
      <c r="F2" s="196" t="s">
        <v>5</v>
      </c>
      <c r="G2" s="8"/>
      <c r="H2" s="195" t="s">
        <v>567</v>
      </c>
      <c r="I2" s="196" t="s">
        <v>5</v>
      </c>
      <c r="K2" s="195" t="s">
        <v>567</v>
      </c>
      <c r="L2" s="196" t="s">
        <v>5</v>
      </c>
      <c r="N2" s="195" t="s">
        <v>567</v>
      </c>
      <c r="O2" s="196" t="s">
        <v>5</v>
      </c>
      <c r="Q2" s="195" t="s">
        <v>567</v>
      </c>
      <c r="R2" s="196" t="s">
        <v>5</v>
      </c>
      <c r="T2" s="195" t="s">
        <v>567</v>
      </c>
      <c r="U2" s="196" t="s">
        <v>5</v>
      </c>
      <c r="W2" s="195" t="s">
        <v>567</v>
      </c>
      <c r="X2" s="196" t="s">
        <v>5</v>
      </c>
      <c r="Z2" s="195" t="s">
        <v>567</v>
      </c>
      <c r="AA2" s="196" t="s">
        <v>5</v>
      </c>
    </row>
    <row r="3" spans="1:27" ht="18.75">
      <c r="A3" s="202" t="s">
        <v>573</v>
      </c>
      <c r="B3" s="203">
        <f t="shared" ref="B3" si="0">F1</f>
        <v>176.65000000000003</v>
      </c>
      <c r="C3" s="40">
        <f>SUMPRODUCT((B$3:B$10&gt;B3)/COUNTIF(B$3:B$10,B$3:B$10&amp;""))+1</f>
        <v>7</v>
      </c>
      <c r="D3" s="46"/>
      <c r="E3" s="42" t="s">
        <v>106</v>
      </c>
      <c r="F3" s="68">
        <v>19.600000000000001</v>
      </c>
      <c r="G3" s="8"/>
      <c r="H3" s="100" t="s">
        <v>78</v>
      </c>
      <c r="I3" s="73">
        <v>19.100000000000001</v>
      </c>
      <c r="K3" s="93" t="s">
        <v>60</v>
      </c>
      <c r="L3" s="73">
        <v>18.850000000000001</v>
      </c>
      <c r="N3" s="95" t="s">
        <v>1004</v>
      </c>
      <c r="O3" s="384">
        <v>18.5</v>
      </c>
      <c r="Q3" s="93" t="s">
        <v>495</v>
      </c>
      <c r="R3" s="68">
        <v>19.149999999999999</v>
      </c>
      <c r="T3" s="93" t="s">
        <v>770</v>
      </c>
      <c r="U3" s="68">
        <v>18.649999999999999</v>
      </c>
      <c r="W3" s="416" t="s">
        <v>72</v>
      </c>
      <c r="X3" s="68">
        <v>18.850000000000001</v>
      </c>
      <c r="Z3" s="93" t="s">
        <v>1211</v>
      </c>
      <c r="AA3" s="68">
        <v>18.350000000000001</v>
      </c>
    </row>
    <row r="4" spans="1:27" ht="18.75">
      <c r="A4" s="202" t="s">
        <v>563</v>
      </c>
      <c r="B4" s="203">
        <f>I1</f>
        <v>175.25</v>
      </c>
      <c r="C4" s="40">
        <f t="shared" ref="C4:C10" si="1">SUMPRODUCT((B$3:B$10&gt;B4)/COUNTIF(B$3:B$10,B$3:B$10&amp;""))+1</f>
        <v>8</v>
      </c>
      <c r="D4" s="46"/>
      <c r="E4" s="42" t="s">
        <v>678</v>
      </c>
      <c r="F4" s="384">
        <v>18.5</v>
      </c>
      <c r="G4" s="8"/>
      <c r="H4" s="100" t="s">
        <v>479</v>
      </c>
      <c r="I4" s="68">
        <v>18</v>
      </c>
      <c r="K4" s="95" t="s">
        <v>55</v>
      </c>
      <c r="L4" s="68">
        <v>18.7</v>
      </c>
      <c r="N4" s="93" t="s">
        <v>1003</v>
      </c>
      <c r="O4" s="68">
        <v>18.350000000000001</v>
      </c>
      <c r="Q4" s="93" t="s">
        <v>514</v>
      </c>
      <c r="R4" s="68">
        <v>19.149999999999999</v>
      </c>
      <c r="T4" s="93" t="s">
        <v>314</v>
      </c>
      <c r="U4" s="68">
        <v>18.399999999999999</v>
      </c>
      <c r="W4" s="93" t="s">
        <v>1187</v>
      </c>
      <c r="X4" s="68">
        <v>18.649999999999999</v>
      </c>
      <c r="Z4" s="93" t="s">
        <v>494</v>
      </c>
      <c r="AA4" s="68">
        <v>18.350000000000001</v>
      </c>
    </row>
    <row r="5" spans="1:27" ht="18.75">
      <c r="A5" s="206" t="s">
        <v>557</v>
      </c>
      <c r="B5" s="207">
        <f>L1</f>
        <v>184.3</v>
      </c>
      <c r="C5" s="40">
        <f t="shared" si="1"/>
        <v>2</v>
      </c>
      <c r="D5" s="46"/>
      <c r="E5" s="42" t="s">
        <v>269</v>
      </c>
      <c r="F5" s="68">
        <v>18.350000000000001</v>
      </c>
      <c r="G5" s="8"/>
      <c r="H5" s="100" t="s">
        <v>74</v>
      </c>
      <c r="I5" s="384">
        <v>17.649999999999999</v>
      </c>
      <c r="K5" s="93" t="s">
        <v>54</v>
      </c>
      <c r="L5" s="73">
        <v>18.600000000000001</v>
      </c>
      <c r="N5" s="93" t="s">
        <v>389</v>
      </c>
      <c r="O5" s="68">
        <v>18.149999999999999</v>
      </c>
      <c r="Q5" s="93" t="s">
        <v>519</v>
      </c>
      <c r="R5" s="68">
        <v>19.149999999999999</v>
      </c>
      <c r="T5" s="93" t="s">
        <v>768</v>
      </c>
      <c r="U5" s="68">
        <v>18.25</v>
      </c>
      <c r="W5" s="93" t="s">
        <v>68</v>
      </c>
      <c r="X5" s="68">
        <v>18.45</v>
      </c>
      <c r="Z5" s="93" t="s">
        <v>1210</v>
      </c>
      <c r="AA5" s="68">
        <v>18.3</v>
      </c>
    </row>
    <row r="6" spans="1:27" ht="18.75">
      <c r="A6" s="206" t="s">
        <v>562</v>
      </c>
      <c r="B6" s="207">
        <f>O1</f>
        <v>177.55</v>
      </c>
      <c r="C6" s="40">
        <f t="shared" si="1"/>
        <v>6</v>
      </c>
      <c r="D6" s="46"/>
      <c r="E6" s="42" t="s">
        <v>105</v>
      </c>
      <c r="F6" s="384">
        <v>18.350000000000001</v>
      </c>
      <c r="G6" s="8"/>
      <c r="H6" s="100" t="s">
        <v>1126</v>
      </c>
      <c r="I6" s="73">
        <v>17.399999999999999</v>
      </c>
      <c r="K6" s="417" t="s">
        <v>710</v>
      </c>
      <c r="L6" s="73">
        <v>18.55</v>
      </c>
      <c r="N6" s="95" t="s">
        <v>392</v>
      </c>
      <c r="O6" s="384">
        <v>18.149999999999999</v>
      </c>
      <c r="Q6" s="425" t="s">
        <v>210</v>
      </c>
      <c r="R6" s="73">
        <v>19.049999999999997</v>
      </c>
      <c r="T6" s="93" t="s">
        <v>771</v>
      </c>
      <c r="U6" s="68">
        <v>18.149999999999999</v>
      </c>
      <c r="W6" s="95" t="s">
        <v>184</v>
      </c>
      <c r="X6" s="68">
        <v>18.350000000000001</v>
      </c>
      <c r="Z6" s="93" t="s">
        <v>491</v>
      </c>
      <c r="AA6" s="68">
        <v>18.3</v>
      </c>
    </row>
    <row r="7" spans="1:27" ht="18.75">
      <c r="A7" s="206" t="s">
        <v>572</v>
      </c>
      <c r="B7" s="207">
        <f>R1</f>
        <v>189.25</v>
      </c>
      <c r="C7" s="40">
        <f t="shared" si="1"/>
        <v>1</v>
      </c>
      <c r="D7" s="46"/>
      <c r="E7" s="100" t="s">
        <v>110</v>
      </c>
      <c r="F7" s="68">
        <v>18.25</v>
      </c>
      <c r="G7" s="8"/>
      <c r="H7" s="100" t="s">
        <v>1135</v>
      </c>
      <c r="I7" s="68">
        <v>17.25</v>
      </c>
      <c r="K7" s="417" t="s">
        <v>708</v>
      </c>
      <c r="L7" s="73">
        <v>18.5</v>
      </c>
      <c r="N7" s="100" t="s">
        <v>446</v>
      </c>
      <c r="O7" s="68">
        <v>17.95</v>
      </c>
      <c r="Q7" s="100" t="s">
        <v>507</v>
      </c>
      <c r="R7" s="68">
        <v>19</v>
      </c>
      <c r="T7" s="100" t="s">
        <v>318</v>
      </c>
      <c r="U7" s="68">
        <v>18.149999999999999</v>
      </c>
      <c r="W7" s="93" t="s">
        <v>1188</v>
      </c>
      <c r="X7" s="68">
        <v>18.200000000000003</v>
      </c>
      <c r="Z7" s="93" t="s">
        <v>1202</v>
      </c>
      <c r="AA7" s="68">
        <v>17.850000000000001</v>
      </c>
    </row>
    <row r="8" spans="1:27" ht="18.75">
      <c r="A8" s="206" t="s">
        <v>535</v>
      </c>
      <c r="B8" s="207">
        <f>U1</f>
        <v>180.2</v>
      </c>
      <c r="C8" s="40">
        <f t="shared" si="1"/>
        <v>4</v>
      </c>
      <c r="D8" s="46"/>
      <c r="E8" s="142" t="s">
        <v>680</v>
      </c>
      <c r="F8" s="68">
        <v>17.100000000000001</v>
      </c>
      <c r="G8" s="8"/>
      <c r="H8" s="100" t="s">
        <v>173</v>
      </c>
      <c r="I8" s="73">
        <v>17.25</v>
      </c>
      <c r="K8" s="93" t="s">
        <v>709</v>
      </c>
      <c r="L8" s="73">
        <v>18.399999999999999</v>
      </c>
      <c r="N8" s="100" t="s">
        <v>1002</v>
      </c>
      <c r="O8" s="68">
        <v>17.649999999999999</v>
      </c>
      <c r="Q8" s="93" t="s">
        <v>497</v>
      </c>
      <c r="R8" s="68">
        <v>18.850000000000001</v>
      </c>
      <c r="T8" s="93" t="s">
        <v>317</v>
      </c>
      <c r="U8" s="68">
        <v>17.899999999999999</v>
      </c>
      <c r="W8" s="95" t="s">
        <v>185</v>
      </c>
      <c r="X8" s="68">
        <v>18.2</v>
      </c>
      <c r="Z8" s="93" t="s">
        <v>490</v>
      </c>
      <c r="AA8" s="68">
        <v>17.850000000000001</v>
      </c>
    </row>
    <row r="9" spans="1:27" ht="18.75">
      <c r="A9" s="206" t="s">
        <v>575</v>
      </c>
      <c r="B9" s="207">
        <f>X1</f>
        <v>182.95</v>
      </c>
      <c r="C9" s="40">
        <f t="shared" si="1"/>
        <v>3</v>
      </c>
      <c r="D9" s="46"/>
      <c r="E9" s="93" t="s">
        <v>676</v>
      </c>
      <c r="F9" s="68">
        <v>16.8</v>
      </c>
      <c r="G9" s="8"/>
      <c r="H9" s="93" t="s">
        <v>92</v>
      </c>
      <c r="I9" s="73">
        <v>17.2</v>
      </c>
      <c r="K9" s="425" t="s">
        <v>711</v>
      </c>
      <c r="L9" s="73">
        <v>18.350000000000001</v>
      </c>
      <c r="N9" s="93" t="s">
        <v>445</v>
      </c>
      <c r="O9" s="68">
        <v>17.5</v>
      </c>
      <c r="Q9" s="110" t="s">
        <v>518</v>
      </c>
      <c r="R9" s="68">
        <f>'ADV 16&amp;A L'!Q12</f>
        <v>18.850000000000001</v>
      </c>
      <c r="T9" s="99" t="s">
        <v>316</v>
      </c>
      <c r="U9" s="68">
        <v>17.850000000000001</v>
      </c>
      <c r="W9" s="93" t="s">
        <v>487</v>
      </c>
      <c r="X9" s="68">
        <v>18.100000000000001</v>
      </c>
      <c r="Z9" s="93" t="s">
        <v>1212</v>
      </c>
      <c r="AA9" s="68">
        <v>17.8</v>
      </c>
    </row>
    <row r="10" spans="1:27" ht="18.75">
      <c r="A10" s="206" t="s">
        <v>33</v>
      </c>
      <c r="B10" s="207">
        <f>AA1</f>
        <v>179.70000000000002</v>
      </c>
      <c r="C10" s="40">
        <f t="shared" si="1"/>
        <v>5</v>
      </c>
      <c r="D10" s="46"/>
      <c r="E10" s="425" t="s">
        <v>682</v>
      </c>
      <c r="F10" s="68">
        <v>16.600000000000001</v>
      </c>
      <c r="G10" s="8"/>
      <c r="H10" s="93" t="s">
        <v>1136</v>
      </c>
      <c r="I10" s="68">
        <v>17.149999999999999</v>
      </c>
      <c r="K10" s="95" t="s">
        <v>707</v>
      </c>
      <c r="L10" s="68">
        <v>18.149999999999999</v>
      </c>
      <c r="N10" s="93" t="s">
        <v>1007</v>
      </c>
      <c r="O10" s="68">
        <v>17.399999999999999</v>
      </c>
      <c r="Q10" s="93" t="s">
        <v>501</v>
      </c>
      <c r="R10" s="68">
        <v>18.75</v>
      </c>
      <c r="T10" s="100" t="s">
        <v>313</v>
      </c>
      <c r="U10" s="68">
        <v>17.75</v>
      </c>
      <c r="W10" s="93" t="s">
        <v>485</v>
      </c>
      <c r="X10" s="68">
        <v>18.100000000000001</v>
      </c>
      <c r="Z10" s="425" t="s">
        <v>1294</v>
      </c>
      <c r="AA10" s="68">
        <v>17.75</v>
      </c>
    </row>
    <row r="11" spans="1:27">
      <c r="D11" s="46"/>
      <c r="E11" s="93" t="s">
        <v>683</v>
      </c>
      <c r="F11" s="68">
        <v>16.55</v>
      </c>
      <c r="G11" s="8"/>
      <c r="H11" s="93" t="s">
        <v>94</v>
      </c>
      <c r="I11" s="73">
        <v>17.149999999999999</v>
      </c>
      <c r="K11" s="93" t="s">
        <v>1351</v>
      </c>
      <c r="L11" s="73">
        <v>18.149999999999999</v>
      </c>
      <c r="N11" s="93" t="s">
        <v>1008</v>
      </c>
      <c r="O11" s="68">
        <v>17.100000000000001</v>
      </c>
      <c r="Q11" s="93" t="s">
        <v>208</v>
      </c>
      <c r="R11" s="68">
        <v>18.75</v>
      </c>
      <c r="T11" s="93" t="s">
        <v>315</v>
      </c>
      <c r="U11" s="68">
        <v>17.7</v>
      </c>
      <c r="W11" s="93" t="s">
        <v>69</v>
      </c>
      <c r="X11" s="68">
        <v>18.049999999999997</v>
      </c>
      <c r="Z11" s="93" t="s">
        <v>95</v>
      </c>
      <c r="AA11" s="68">
        <v>17.75</v>
      </c>
    </row>
    <row r="12" spans="1:27" s="390" customFormat="1">
      <c r="D12" s="391"/>
      <c r="E12" s="93" t="s">
        <v>148</v>
      </c>
      <c r="F12" s="68">
        <v>16.549999999999997</v>
      </c>
      <c r="H12" s="93" t="s">
        <v>469</v>
      </c>
      <c r="I12" s="73">
        <v>17.100000000000001</v>
      </c>
      <c r="K12" s="95" t="s">
        <v>56</v>
      </c>
      <c r="L12" s="68">
        <v>18.05</v>
      </c>
      <c r="N12" s="93" t="s">
        <v>448</v>
      </c>
      <c r="O12" s="68">
        <v>16.799999999999997</v>
      </c>
      <c r="Q12" s="93" t="s">
        <v>506</v>
      </c>
      <c r="R12" s="68">
        <v>18.55</v>
      </c>
      <c r="T12" s="93" t="s">
        <v>772</v>
      </c>
      <c r="U12" s="68">
        <v>17.399999999999999</v>
      </c>
      <c r="W12" s="108" t="s">
        <v>1191</v>
      </c>
      <c r="X12" s="68">
        <v>18</v>
      </c>
      <c r="Z12" s="417" t="s">
        <v>34</v>
      </c>
      <c r="AA12" s="68">
        <v>17.399999999999999</v>
      </c>
    </row>
    <row r="13" spans="1:27">
      <c r="E13" s="100" t="s">
        <v>677</v>
      </c>
      <c r="F13" s="68">
        <v>16.399999999999999</v>
      </c>
      <c r="G13" s="8"/>
      <c r="H13" s="93" t="s">
        <v>1137</v>
      </c>
      <c r="I13" s="68">
        <v>17.049999999999997</v>
      </c>
      <c r="K13" s="93" t="s">
        <v>281</v>
      </c>
      <c r="L13" s="73">
        <v>18</v>
      </c>
      <c r="N13" s="93" t="s">
        <v>1005</v>
      </c>
      <c r="O13" s="68">
        <v>16.600000000000001</v>
      </c>
      <c r="Q13" s="93" t="s">
        <v>509</v>
      </c>
      <c r="R13" s="68">
        <v>18.549999999999997</v>
      </c>
      <c r="T13" s="93" t="s">
        <v>774</v>
      </c>
      <c r="U13" s="68">
        <v>17.149999999999999</v>
      </c>
      <c r="W13" s="100" t="s">
        <v>186</v>
      </c>
      <c r="X13" s="68">
        <v>17.95</v>
      </c>
      <c r="Z13" s="100" t="s">
        <v>97</v>
      </c>
      <c r="AA13" s="68">
        <v>17.350000000000001</v>
      </c>
    </row>
    <row r="14" spans="1:27">
      <c r="E14" s="42" t="s">
        <v>681</v>
      </c>
      <c r="F14" s="68">
        <v>15.8</v>
      </c>
      <c r="G14" s="8"/>
      <c r="H14" s="93" t="s">
        <v>75</v>
      </c>
      <c r="I14" s="384">
        <v>17</v>
      </c>
      <c r="K14" s="417" t="s">
        <v>153</v>
      </c>
      <c r="L14" s="73">
        <v>17.8</v>
      </c>
      <c r="N14" s="93" t="s">
        <v>1006</v>
      </c>
      <c r="O14" s="68">
        <v>15.35</v>
      </c>
      <c r="Q14" s="93" t="s">
        <v>1225</v>
      </c>
      <c r="R14" s="68">
        <v>18.5</v>
      </c>
      <c r="T14" s="93" t="s">
        <v>773</v>
      </c>
      <c r="U14" s="68">
        <v>16.899999999999999</v>
      </c>
      <c r="W14" s="16" t="s">
        <v>71</v>
      </c>
      <c r="X14" s="68">
        <v>17.95</v>
      </c>
      <c r="Z14" s="16" t="s">
        <v>1206</v>
      </c>
      <c r="AA14" s="68">
        <v>17.350000000000001</v>
      </c>
    </row>
    <row r="15" spans="1:27">
      <c r="E15" s="100" t="s">
        <v>684</v>
      </c>
      <c r="F15" s="68">
        <v>15.399999999999999</v>
      </c>
      <c r="G15" s="8"/>
      <c r="H15" s="93" t="s">
        <v>174</v>
      </c>
      <c r="I15" s="384">
        <v>16.95</v>
      </c>
      <c r="K15" s="95" t="s">
        <v>35</v>
      </c>
      <c r="L15" s="68">
        <v>17.399999999999999</v>
      </c>
      <c r="O15" s="384"/>
      <c r="Q15" s="110" t="s">
        <v>498</v>
      </c>
      <c r="R15" s="68">
        <v>18.5</v>
      </c>
      <c r="T15" s="394" t="s">
        <v>769</v>
      </c>
      <c r="U15" s="68">
        <v>16.7</v>
      </c>
      <c r="W15" s="108" t="s">
        <v>183</v>
      </c>
      <c r="X15" s="68">
        <v>17.899999999999999</v>
      </c>
      <c r="Z15" s="99" t="s">
        <v>1209</v>
      </c>
      <c r="AA15" s="68">
        <v>17.100000000000001</v>
      </c>
    </row>
    <row r="16" spans="1:27">
      <c r="E16" s="42" t="s">
        <v>268</v>
      </c>
      <c r="F16" s="384">
        <v>0</v>
      </c>
      <c r="G16" s="8"/>
      <c r="H16" s="93" t="s">
        <v>1129</v>
      </c>
      <c r="I16" s="73">
        <v>16.899999999999999</v>
      </c>
      <c r="K16" s="95" t="s">
        <v>278</v>
      </c>
      <c r="L16" s="68">
        <v>17.399999999999999</v>
      </c>
      <c r="O16" s="68"/>
      <c r="Q16" s="425" t="s">
        <v>209</v>
      </c>
      <c r="R16" s="68">
        <v>18.399999999999999</v>
      </c>
      <c r="T16" s="435" t="s">
        <v>546</v>
      </c>
      <c r="U16" s="68">
        <v>0</v>
      </c>
      <c r="W16" s="16" t="s">
        <v>104</v>
      </c>
      <c r="X16" s="68">
        <v>17.899999999999999</v>
      </c>
      <c r="Z16" s="100" t="s">
        <v>1199</v>
      </c>
      <c r="AA16" s="68">
        <v>17.05</v>
      </c>
    </row>
    <row r="17" spans="6:27">
      <c r="F17"/>
      <c r="H17" s="93" t="s">
        <v>1125</v>
      </c>
      <c r="I17" s="384">
        <v>16.850000000000001</v>
      </c>
      <c r="K17" s="93" t="s">
        <v>36</v>
      </c>
      <c r="L17" s="73">
        <v>17.399999999999999</v>
      </c>
      <c r="O17" s="73"/>
      <c r="Q17" s="93" t="s">
        <v>508</v>
      </c>
      <c r="R17" s="68">
        <v>18.399999999999999</v>
      </c>
      <c r="W17" s="100" t="s">
        <v>1186</v>
      </c>
      <c r="X17" s="68">
        <v>17.850000000000001</v>
      </c>
      <c r="Z17" s="100" t="s">
        <v>188</v>
      </c>
      <c r="AA17" s="68">
        <v>17.049999999999997</v>
      </c>
    </row>
    <row r="18" spans="6:27">
      <c r="F18"/>
      <c r="H18" s="93" t="s">
        <v>32</v>
      </c>
      <c r="I18" s="73">
        <v>16.8</v>
      </c>
      <c r="K18" s="100" t="s">
        <v>705</v>
      </c>
      <c r="L18" s="68">
        <v>17.149999999999999</v>
      </c>
      <c r="O18" s="73"/>
      <c r="Q18" s="93" t="s">
        <v>505</v>
      </c>
      <c r="R18" s="68">
        <v>18.399999999999999</v>
      </c>
      <c r="W18" s="100" t="s">
        <v>187</v>
      </c>
      <c r="X18" s="68">
        <v>17.700000000000003</v>
      </c>
      <c r="Z18" s="100" t="s">
        <v>96</v>
      </c>
      <c r="AA18" s="68">
        <v>17</v>
      </c>
    </row>
    <row r="19" spans="6:27">
      <c r="F19"/>
      <c r="H19" s="93" t="s">
        <v>481</v>
      </c>
      <c r="I19" s="68">
        <v>16.75</v>
      </c>
      <c r="K19" s="93" t="s">
        <v>712</v>
      </c>
      <c r="L19" s="68">
        <v>17.100000000000001</v>
      </c>
      <c r="O19" s="73"/>
      <c r="Q19" s="93" t="s">
        <v>212</v>
      </c>
      <c r="R19" s="68">
        <v>18.350000000000001</v>
      </c>
      <c r="W19" s="100" t="s">
        <v>486</v>
      </c>
      <c r="X19" s="68">
        <v>17.7</v>
      </c>
      <c r="Z19" s="16" t="s">
        <v>1208</v>
      </c>
      <c r="AA19" s="68">
        <v>16.950000000000003</v>
      </c>
    </row>
    <row r="20" spans="6:27">
      <c r="F20"/>
      <c r="H20" s="93" t="s">
        <v>480</v>
      </c>
      <c r="I20" s="68">
        <v>16.7</v>
      </c>
      <c r="K20" s="93" t="s">
        <v>86</v>
      </c>
      <c r="L20" s="68">
        <v>17.049999999999997</v>
      </c>
      <c r="O20" s="73"/>
      <c r="Q20" s="93" t="s">
        <v>521</v>
      </c>
      <c r="R20" s="73">
        <v>18.3</v>
      </c>
      <c r="W20" s="394" t="s">
        <v>70</v>
      </c>
      <c r="X20" s="68">
        <v>17.399999999999999</v>
      </c>
      <c r="Z20" s="16" t="s">
        <v>493</v>
      </c>
      <c r="AA20" s="68">
        <v>16.899999999999999</v>
      </c>
    </row>
    <row r="21" spans="6:27">
      <c r="F21"/>
      <c r="H21" s="432" t="s">
        <v>1133</v>
      </c>
      <c r="I21" s="68">
        <v>16.649999999999999</v>
      </c>
      <c r="K21" s="93" t="s">
        <v>714</v>
      </c>
      <c r="L21" s="68">
        <v>17</v>
      </c>
      <c r="O21" s="73"/>
      <c r="Q21" s="110" t="s">
        <v>517</v>
      </c>
      <c r="R21" s="68">
        <f>'ADV 16&amp;A L'!Q11</f>
        <v>18.3</v>
      </c>
      <c r="W21" s="108" t="s">
        <v>1190</v>
      </c>
      <c r="X21" s="68">
        <v>0</v>
      </c>
      <c r="Z21" s="267" t="s">
        <v>492</v>
      </c>
      <c r="AA21" s="68">
        <v>16.899999999999999</v>
      </c>
    </row>
    <row r="22" spans="6:27">
      <c r="F22"/>
      <c r="H22" s="425" t="s">
        <v>472</v>
      </c>
      <c r="I22" s="68">
        <v>16.45</v>
      </c>
      <c r="K22" s="100" t="s">
        <v>715</v>
      </c>
      <c r="L22" s="68">
        <v>16.7</v>
      </c>
      <c r="O22" s="73"/>
      <c r="Q22" s="93" t="s">
        <v>1224</v>
      </c>
      <c r="R22" s="73">
        <v>18.299999999999997</v>
      </c>
      <c r="W22" s="120" t="s">
        <v>1192</v>
      </c>
      <c r="X22" s="68">
        <v>0</v>
      </c>
      <c r="Z22" s="416" t="s">
        <v>1205</v>
      </c>
      <c r="AA22" s="68">
        <v>16.8</v>
      </c>
    </row>
    <row r="23" spans="6:27">
      <c r="F23"/>
      <c r="H23" s="425" t="s">
        <v>471</v>
      </c>
      <c r="I23" s="68">
        <v>16.399999999999999</v>
      </c>
      <c r="K23" s="100" t="s">
        <v>716</v>
      </c>
      <c r="L23" s="68">
        <v>16.25</v>
      </c>
      <c r="O23" s="73"/>
      <c r="Q23" s="93" t="s">
        <v>522</v>
      </c>
      <c r="R23" s="73">
        <v>18.25</v>
      </c>
      <c r="Z23" s="93" t="s">
        <v>1203</v>
      </c>
      <c r="AA23" s="68">
        <v>16.049999999999997</v>
      </c>
    </row>
    <row r="24" spans="6:27">
      <c r="F24"/>
      <c r="H24" s="93" t="s">
        <v>473</v>
      </c>
      <c r="I24" s="68">
        <v>16.399999999999999</v>
      </c>
      <c r="K24" s="433" t="s">
        <v>57</v>
      </c>
      <c r="L24" s="68">
        <v>16.25</v>
      </c>
      <c r="O24" s="73"/>
      <c r="Q24" s="93" t="s">
        <v>214</v>
      </c>
      <c r="R24" s="68">
        <v>18.25</v>
      </c>
      <c r="Z24" s="93" t="s">
        <v>1200</v>
      </c>
      <c r="AA24" s="68">
        <v>15.75</v>
      </c>
    </row>
    <row r="25" spans="6:27">
      <c r="F25"/>
      <c r="H25" s="93" t="s">
        <v>1132</v>
      </c>
      <c r="I25" s="73">
        <v>16.350000000000001</v>
      </c>
      <c r="K25" s="100" t="s">
        <v>713</v>
      </c>
      <c r="L25" s="68">
        <v>16.149999999999999</v>
      </c>
      <c r="O25" s="73"/>
      <c r="Q25" s="93" t="s">
        <v>202</v>
      </c>
      <c r="R25" s="73">
        <v>18.2</v>
      </c>
      <c r="Z25" s="100" t="s">
        <v>1198</v>
      </c>
      <c r="AA25" s="68">
        <v>15.7</v>
      </c>
    </row>
    <row r="26" spans="6:27">
      <c r="F26"/>
      <c r="H26" s="93" t="s">
        <v>90</v>
      </c>
      <c r="I26" s="73">
        <v>16.2</v>
      </c>
      <c r="K26" s="93" t="s">
        <v>58</v>
      </c>
      <c r="L26" s="68">
        <v>15.3</v>
      </c>
      <c r="O26" s="73"/>
      <c r="Q26" s="93" t="s">
        <v>515</v>
      </c>
      <c r="R26" s="68">
        <v>18.2</v>
      </c>
      <c r="Z26" s="100" t="s">
        <v>1201</v>
      </c>
      <c r="AA26" s="68">
        <v>15.4</v>
      </c>
    </row>
    <row r="27" spans="6:27">
      <c r="F27"/>
      <c r="H27" s="93" t="s">
        <v>1127</v>
      </c>
      <c r="I27" s="73">
        <v>16.05</v>
      </c>
      <c r="K27" s="95" t="s">
        <v>53</v>
      </c>
      <c r="L27" s="68">
        <v>0</v>
      </c>
      <c r="O27" s="73"/>
      <c r="Q27" t="s">
        <v>189</v>
      </c>
      <c r="R27" s="68">
        <v>18.100000000000001</v>
      </c>
      <c r="Z27" s="100" t="s">
        <v>1197</v>
      </c>
      <c r="AA27" s="68">
        <v>15.25</v>
      </c>
    </row>
    <row r="28" spans="6:27">
      <c r="F28"/>
      <c r="H28" s="93" t="s">
        <v>73</v>
      </c>
      <c r="I28" s="73">
        <v>16</v>
      </c>
      <c r="L28" s="73"/>
      <c r="O28" s="73"/>
      <c r="Q28" s="425" t="s">
        <v>204</v>
      </c>
      <c r="R28" s="68">
        <v>18.05</v>
      </c>
      <c r="Z28" s="100" t="s">
        <v>488</v>
      </c>
      <c r="AA28" s="68">
        <v>14.9</v>
      </c>
    </row>
    <row r="29" spans="6:27">
      <c r="F29"/>
      <c r="H29" s="93" t="s">
        <v>89</v>
      </c>
      <c r="I29" s="73">
        <v>15.85</v>
      </c>
      <c r="L29" s="73"/>
      <c r="O29" s="73"/>
      <c r="Q29" s="93" t="s">
        <v>213</v>
      </c>
      <c r="R29" s="68">
        <v>18.05</v>
      </c>
      <c r="Z29" s="100" t="s">
        <v>489</v>
      </c>
      <c r="AA29" s="68">
        <v>14.65</v>
      </c>
    </row>
    <row r="30" spans="6:27">
      <c r="F30"/>
      <c r="H30" s="425" t="s">
        <v>1134</v>
      </c>
      <c r="I30" s="68">
        <v>15.6</v>
      </c>
      <c r="L30" s="73"/>
      <c r="O30" s="73"/>
      <c r="Q30" s="93" t="s">
        <v>512</v>
      </c>
      <c r="R30" s="68">
        <v>18.05</v>
      </c>
      <c r="Z30" s="120" t="s">
        <v>1207</v>
      </c>
      <c r="AA30" s="68">
        <v>0</v>
      </c>
    </row>
    <row r="31" spans="6:27">
      <c r="F31"/>
      <c r="H31" s="93" t="s">
        <v>76</v>
      </c>
      <c r="I31" s="384">
        <v>15.5</v>
      </c>
      <c r="L31" s="73"/>
      <c r="O31" s="73"/>
      <c r="Q31" s="93" t="s">
        <v>499</v>
      </c>
      <c r="R31" s="68">
        <v>18</v>
      </c>
    </row>
    <row r="32" spans="6:27">
      <c r="F32"/>
      <c r="H32" s="93" t="s">
        <v>93</v>
      </c>
      <c r="I32" s="73">
        <v>15.05</v>
      </c>
      <c r="L32" s="73"/>
      <c r="O32" s="73"/>
      <c r="Q32" s="110" t="s">
        <v>516</v>
      </c>
      <c r="R32" s="68">
        <v>18</v>
      </c>
    </row>
    <row r="33" spans="5:18">
      <c r="F33"/>
      <c r="H33" s="93" t="s">
        <v>1130</v>
      </c>
      <c r="I33" s="73">
        <v>0</v>
      </c>
      <c r="L33" s="73"/>
      <c r="O33" s="73"/>
      <c r="Q33" s="93" t="s">
        <v>1226</v>
      </c>
      <c r="R33" s="68">
        <v>17.950000000000003</v>
      </c>
    </row>
    <row r="34" spans="5:18">
      <c r="F34"/>
      <c r="H34" s="93" t="s">
        <v>1131</v>
      </c>
      <c r="I34" s="73">
        <v>0</v>
      </c>
      <c r="L34" s="73"/>
      <c r="O34" s="73"/>
      <c r="Q34" s="93" t="s">
        <v>524</v>
      </c>
      <c r="R34" s="68">
        <v>17.899999999999999</v>
      </c>
    </row>
    <row r="35" spans="5:18">
      <c r="F35"/>
      <c r="H35" s="93" t="s">
        <v>20</v>
      </c>
      <c r="I35" s="73">
        <v>0</v>
      </c>
      <c r="L35" s="73"/>
      <c r="O35" s="73"/>
      <c r="Q35" s="93" t="s">
        <v>496</v>
      </c>
      <c r="R35" s="68">
        <v>17.899999999999999</v>
      </c>
    </row>
    <row r="36" spans="5:18">
      <c r="F36"/>
      <c r="H36" s="93" t="s">
        <v>470</v>
      </c>
      <c r="I36" s="73">
        <v>0</v>
      </c>
      <c r="L36" s="73"/>
      <c r="O36" s="73"/>
      <c r="Q36" s="93" t="s">
        <v>1229</v>
      </c>
      <c r="R36" s="68">
        <v>17.850000000000001</v>
      </c>
    </row>
    <row r="37" spans="5:18">
      <c r="F37"/>
      <c r="I37" s="73"/>
      <c r="L37" s="73"/>
      <c r="O37" s="73"/>
      <c r="Q37" s="110" t="s">
        <v>190</v>
      </c>
      <c r="R37" s="68">
        <v>17.75</v>
      </c>
    </row>
    <row r="38" spans="5:18">
      <c r="F38"/>
      <c r="I38" s="73"/>
      <c r="L38" s="73"/>
      <c r="O38" s="73"/>
      <c r="Q38" s="93" t="s">
        <v>192</v>
      </c>
      <c r="R38" s="68">
        <v>17.75</v>
      </c>
    </row>
    <row r="39" spans="5:18">
      <c r="F39"/>
      <c r="I39" s="73"/>
      <c r="L39" s="73"/>
      <c r="O39" s="73"/>
      <c r="Q39" s="93" t="s">
        <v>502</v>
      </c>
      <c r="R39" s="68">
        <v>17.75</v>
      </c>
    </row>
    <row r="40" spans="5:18">
      <c r="F40"/>
      <c r="I40" s="73"/>
      <c r="L40" s="73"/>
      <c r="O40" s="73"/>
      <c r="Q40" s="93" t="s">
        <v>191</v>
      </c>
      <c r="R40" s="73">
        <v>17.700000000000003</v>
      </c>
    </row>
    <row r="41" spans="5:18">
      <c r="F41"/>
      <c r="Q41" s="93" t="s">
        <v>500</v>
      </c>
      <c r="R41" s="73">
        <v>17.700000000000003</v>
      </c>
    </row>
    <row r="42" spans="5:18">
      <c r="F42"/>
      <c r="Q42" s="42" t="s">
        <v>1230</v>
      </c>
      <c r="R42" s="68">
        <v>17.5</v>
      </c>
    </row>
    <row r="43" spans="5:18">
      <c r="F43"/>
      <c r="Q43" s="234" t="s">
        <v>525</v>
      </c>
      <c r="R43" s="68">
        <v>17.350000000000001</v>
      </c>
    </row>
    <row r="44" spans="5:18">
      <c r="F44"/>
      <c r="Q44" s="100" t="s">
        <v>1228</v>
      </c>
      <c r="R44" s="68">
        <v>17.2</v>
      </c>
    </row>
    <row r="45" spans="5:18">
      <c r="F45"/>
      <c r="Q45" s="100" t="s">
        <v>520</v>
      </c>
      <c r="R45" s="68">
        <v>17.2</v>
      </c>
    </row>
    <row r="46" spans="5:18">
      <c r="E46" s="46"/>
      <c r="F46" s="46"/>
      <c r="Q46" s="100" t="s">
        <v>523</v>
      </c>
      <c r="R46" s="68">
        <v>17</v>
      </c>
    </row>
    <row r="47" spans="5:18">
      <c r="E47" s="46"/>
      <c r="F47" s="46"/>
      <c r="Q47" s="434" t="s">
        <v>195</v>
      </c>
      <c r="R47" s="73">
        <v>16.850000000000001</v>
      </c>
    </row>
    <row r="48" spans="5:18">
      <c r="E48" s="73"/>
      <c r="F48" s="73"/>
      <c r="Q48" s="100" t="s">
        <v>1234</v>
      </c>
      <c r="R48" s="68">
        <v>16.75</v>
      </c>
    </row>
    <row r="49" spans="5:18">
      <c r="E49" s="73"/>
      <c r="F49" s="73"/>
      <c r="Q49" s="100" t="s">
        <v>1233</v>
      </c>
      <c r="R49" s="68">
        <v>16.7</v>
      </c>
    </row>
    <row r="50" spans="5:18">
      <c r="E50" s="46"/>
      <c r="F50" s="46"/>
      <c r="Q50" s="100" t="s">
        <v>1232</v>
      </c>
      <c r="R50" s="68">
        <v>16.200000000000003</v>
      </c>
    </row>
    <row r="51" spans="5:18">
      <c r="E51" s="46"/>
      <c r="F51" s="46"/>
      <c r="Q51" s="100" t="s">
        <v>1231</v>
      </c>
      <c r="R51" s="68">
        <v>15.899999999999999</v>
      </c>
    </row>
    <row r="52" spans="5:18">
      <c r="E52" s="46"/>
      <c r="F52" s="46"/>
      <c r="Q52" s="394" t="s">
        <v>211</v>
      </c>
      <c r="R52" s="68">
        <v>0</v>
      </c>
    </row>
    <row r="53" spans="5:18">
      <c r="E53" s="46"/>
      <c r="F53" s="46"/>
    </row>
    <row r="54" spans="5:18">
      <c r="E54" s="192"/>
    </row>
    <row r="55" spans="5:18">
      <c r="E55" s="192"/>
    </row>
    <row r="56" spans="5:18">
      <c r="E56" s="192"/>
    </row>
  </sheetData>
  <phoneticPr fontId="21" type="noConversion"/>
  <conditionalFormatting sqref="C3:C10">
    <cfRule type="cellIs" dxfId="48" priority="1" operator="equal">
      <formula>3</formula>
    </cfRule>
    <cfRule type="cellIs" dxfId="47" priority="2" operator="equal">
      <formula>2</formula>
    </cfRule>
    <cfRule type="cellIs" dxfId="46" priority="3" operator="equal">
      <formula>1</formula>
    </cfRule>
  </conditionalFormatting>
  <pageMargins left="0.75" right="0.75" top="1" bottom="1" header="0.5" footer="0.5"/>
  <pageSetup paperSize="9" scale="34" orientation="landscape" horizontalDpi="4294967292" verticalDpi="4294967292"/>
  <colBreaks count="1" manualBreakCount="1">
    <brk id="28" max="1048575" man="1"/>
  </colBreaks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J103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4.87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.875" bestFit="1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2" width="8" customWidth="1"/>
    <col min="23" max="23" width="24.125" customWidth="1"/>
    <col min="24" max="24" width="8.5" customWidth="1"/>
    <col min="25" max="25" width="5" style="53" customWidth="1"/>
    <col min="26" max="26" width="9.375" customWidth="1"/>
    <col min="27" max="27" width="4.5" style="57" customWidth="1"/>
    <col min="28" max="28" width="9.375" style="39" customWidth="1"/>
    <col min="29" max="29" width="5.5" style="60" customWidth="1"/>
  </cols>
  <sheetData>
    <row r="1" spans="1:6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"/>
      <c r="BJ2" s="2"/>
    </row>
    <row r="3" spans="1:62" ht="23.25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1">
      <c r="A4" s="8"/>
      <c r="E4" s="1"/>
      <c r="F4" s="1"/>
      <c r="G4" s="464" t="s">
        <v>112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62" s="8" customFormat="1">
      <c r="A6" s="348" t="s">
        <v>625</v>
      </c>
      <c r="B6" s="349"/>
      <c r="C6" s="349"/>
      <c r="D6" s="349"/>
      <c r="E6" s="350"/>
      <c r="G6" s="348" t="s">
        <v>243</v>
      </c>
      <c r="H6" s="349"/>
      <c r="I6" s="349"/>
      <c r="J6" s="349"/>
      <c r="K6" s="350"/>
      <c r="M6" s="348" t="s">
        <v>249</v>
      </c>
      <c r="N6" s="349"/>
      <c r="O6" s="349"/>
      <c r="P6" s="349"/>
      <c r="Q6" s="350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62">
      <c r="A7" s="354" t="s">
        <v>1</v>
      </c>
      <c r="B7" s="354" t="s">
        <v>2</v>
      </c>
      <c r="C7" s="354" t="s">
        <v>3</v>
      </c>
      <c r="D7" s="354" t="s">
        <v>4</v>
      </c>
      <c r="E7" s="354" t="s">
        <v>5</v>
      </c>
      <c r="F7" s="8"/>
      <c r="G7" s="354" t="s">
        <v>1</v>
      </c>
      <c r="H7" s="354" t="s">
        <v>2</v>
      </c>
      <c r="I7" s="354" t="s">
        <v>3</v>
      </c>
      <c r="J7" s="354" t="s">
        <v>4</v>
      </c>
      <c r="K7" s="354" t="s">
        <v>5</v>
      </c>
      <c r="L7" s="8"/>
      <c r="M7" s="354" t="s">
        <v>1</v>
      </c>
      <c r="N7" s="354" t="s">
        <v>2</v>
      </c>
      <c r="O7" s="354" t="s">
        <v>3</v>
      </c>
      <c r="P7" s="354" t="s">
        <v>4</v>
      </c>
      <c r="Q7" s="354" t="s">
        <v>5</v>
      </c>
      <c r="R7" s="8"/>
      <c r="U7" s="16" t="s">
        <v>626</v>
      </c>
      <c r="V7" s="151">
        <v>260</v>
      </c>
      <c r="W7" s="99" t="s">
        <v>633</v>
      </c>
      <c r="X7" s="14">
        <f>C63</f>
        <v>8.65</v>
      </c>
      <c r="Y7" s="283">
        <f t="shared" ref="Y7:AA70" si="0">SUMPRODUCT((X$7:X$103&gt;X7)/COUNTIF(X$7:X$103,X$7:X$103&amp;""))+1</f>
        <v>11</v>
      </c>
      <c r="Z7" s="14">
        <f>D63</f>
        <v>7.6</v>
      </c>
      <c r="AA7" s="283">
        <f t="shared" si="0"/>
        <v>5</v>
      </c>
      <c r="AB7" s="69">
        <f>Table351550526[[#This Row],[Floor4]]+Table351550526[[#This Row],[Vault6]]</f>
        <v>16.25</v>
      </c>
      <c r="AC7" s="283">
        <f t="shared" ref="AC7" si="1">SUMPRODUCT((AB$7:AB$103&gt;AB7)/COUNTIF(AB$7:AB$103,AB$7:AB$103&amp;""))+1</f>
        <v>6.9999999999999991</v>
      </c>
    </row>
    <row r="8" spans="1:62">
      <c r="A8" s="150">
        <v>170</v>
      </c>
      <c r="B8" s="95" t="s">
        <v>634</v>
      </c>
      <c r="C8" s="14">
        <v>8.35</v>
      </c>
      <c r="D8" s="14">
        <v>7.35</v>
      </c>
      <c r="E8" s="14">
        <f>SUM(C8,D8)</f>
        <v>15.7</v>
      </c>
      <c r="F8" s="8"/>
      <c r="G8" s="150">
        <v>176</v>
      </c>
      <c r="H8" s="95" t="s">
        <v>651</v>
      </c>
      <c r="I8" s="14">
        <v>7.75</v>
      </c>
      <c r="J8" s="14">
        <v>7.3</v>
      </c>
      <c r="K8" s="14">
        <f>SUM(I8,J8)</f>
        <v>15.05</v>
      </c>
      <c r="L8" s="8"/>
      <c r="M8" s="150">
        <v>182</v>
      </c>
      <c r="N8" s="95" t="s">
        <v>232</v>
      </c>
      <c r="O8" s="14">
        <v>8.85</v>
      </c>
      <c r="P8" s="14">
        <v>7.35</v>
      </c>
      <c r="Q8" s="14">
        <f>SUM(O8,P8)</f>
        <v>16.2</v>
      </c>
      <c r="R8" s="8"/>
      <c r="U8" s="16" t="s">
        <v>626</v>
      </c>
      <c r="V8" s="149">
        <v>170</v>
      </c>
      <c r="W8" s="93" t="s">
        <v>634</v>
      </c>
      <c r="X8" s="14">
        <f>C8</f>
        <v>8.35</v>
      </c>
      <c r="Y8" s="283">
        <f t="shared" si="0"/>
        <v>14.999999999999996</v>
      </c>
      <c r="Z8" s="14">
        <f>D8</f>
        <v>7.35</v>
      </c>
      <c r="AA8" s="283">
        <f t="shared" si="0"/>
        <v>10</v>
      </c>
      <c r="AB8" s="69">
        <f>Table351550526[[#This Row],[Floor4]]+Table351550526[[#This Row],[Vault6]]</f>
        <v>15.7</v>
      </c>
      <c r="AC8" s="283">
        <f t="shared" ref="AC8" si="2">SUMPRODUCT((AB$7:AB$103&gt;AB8)/COUNTIF(AB$7:AB$103,AB$7:AB$103&amp;""))+1</f>
        <v>15.999999999999998</v>
      </c>
    </row>
    <row r="9" spans="1:62">
      <c r="A9" s="150">
        <v>171</v>
      </c>
      <c r="B9" s="95" t="s">
        <v>635</v>
      </c>
      <c r="C9" s="14">
        <v>8.3000000000000007</v>
      </c>
      <c r="D9" s="14">
        <v>7.9</v>
      </c>
      <c r="E9" s="14">
        <f t="shared" ref="E9:E13" si="3">SUM(C9,D9)</f>
        <v>16.200000000000003</v>
      </c>
      <c r="F9" s="8"/>
      <c r="G9" s="150">
        <v>177</v>
      </c>
      <c r="H9" s="95" t="s">
        <v>652</v>
      </c>
      <c r="I9" s="14">
        <v>8.15</v>
      </c>
      <c r="J9" s="14">
        <v>6.4</v>
      </c>
      <c r="K9" s="14">
        <f t="shared" ref="K9:K13" si="4">SUM(I9,J9)</f>
        <v>14.55</v>
      </c>
      <c r="L9" s="8"/>
      <c r="M9" s="150">
        <v>183</v>
      </c>
      <c r="N9" s="95" t="s">
        <v>246</v>
      </c>
      <c r="O9" s="14">
        <v>8.75</v>
      </c>
      <c r="P9" s="14">
        <v>7.35</v>
      </c>
      <c r="Q9" s="14">
        <f t="shared" ref="Q9:Q13" si="5">SUM(O9,P9)</f>
        <v>16.100000000000001</v>
      </c>
      <c r="R9" s="8"/>
      <c r="U9" s="16" t="s">
        <v>626</v>
      </c>
      <c r="V9" s="149">
        <v>171</v>
      </c>
      <c r="W9" s="93" t="s">
        <v>635</v>
      </c>
      <c r="X9" s="14">
        <f t="shared" ref="X9:X12" si="6">C9</f>
        <v>8.3000000000000007</v>
      </c>
      <c r="Y9" s="283">
        <f t="shared" si="0"/>
        <v>15.999999999999995</v>
      </c>
      <c r="Z9" s="14">
        <f t="shared" ref="Z9:Z11" si="7">D9</f>
        <v>7.9</v>
      </c>
      <c r="AA9" s="283">
        <f t="shared" si="0"/>
        <v>2</v>
      </c>
      <c r="AB9" s="69">
        <f>Table351550526[[#This Row],[Floor4]]+Table351550526[[#This Row],[Vault6]]</f>
        <v>16.200000000000003</v>
      </c>
      <c r="AC9" s="283">
        <f t="shared" ref="AC9" si="8">SUMPRODUCT((AB$7:AB$103&gt;AB9)/COUNTIF(AB$7:AB$103,AB$7:AB$103&amp;""))+1</f>
        <v>7.9999999999999991</v>
      </c>
    </row>
    <row r="10" spans="1:62">
      <c r="A10" s="150">
        <v>172</v>
      </c>
      <c r="B10" s="95" t="s">
        <v>636</v>
      </c>
      <c r="C10" s="14">
        <v>8.0500000000000007</v>
      </c>
      <c r="D10" s="14">
        <v>7.4</v>
      </c>
      <c r="E10" s="14">
        <f t="shared" si="3"/>
        <v>15.450000000000001</v>
      </c>
      <c r="F10" s="8"/>
      <c r="G10" s="150">
        <v>178</v>
      </c>
      <c r="H10" s="95" t="s">
        <v>653</v>
      </c>
      <c r="I10" s="14">
        <v>7.6</v>
      </c>
      <c r="J10" s="14">
        <v>5.9</v>
      </c>
      <c r="K10" s="14">
        <f t="shared" si="4"/>
        <v>13.5</v>
      </c>
      <c r="L10" s="8"/>
      <c r="M10" s="150">
        <v>184</v>
      </c>
      <c r="N10" s="95" t="s">
        <v>244</v>
      </c>
      <c r="O10" s="14">
        <v>8.9</v>
      </c>
      <c r="P10" s="14">
        <v>7.65</v>
      </c>
      <c r="Q10" s="14">
        <f t="shared" si="5"/>
        <v>16.55</v>
      </c>
      <c r="R10" s="8"/>
      <c r="U10" s="16" t="s">
        <v>626</v>
      </c>
      <c r="V10" s="149">
        <v>172</v>
      </c>
      <c r="W10" s="93" t="s">
        <v>636</v>
      </c>
      <c r="X10" s="14">
        <f t="shared" si="6"/>
        <v>8.0500000000000007</v>
      </c>
      <c r="Y10" s="283">
        <f t="shared" si="0"/>
        <v>20.999999999999993</v>
      </c>
      <c r="Z10" s="14">
        <f t="shared" si="7"/>
        <v>7.4</v>
      </c>
      <c r="AA10" s="283">
        <f t="shared" si="0"/>
        <v>9.0000000000000018</v>
      </c>
      <c r="AB10" s="69">
        <f>Table351550526[[#This Row],[Floor4]]+Table351550526[[#This Row],[Vault6]]</f>
        <v>15.450000000000001</v>
      </c>
      <c r="AC10" s="283">
        <f t="shared" ref="AC10" si="9">SUMPRODUCT((AB$7:AB$103&gt;AB10)/COUNTIF(AB$7:AB$103,AB$7:AB$103&amp;""))+1</f>
        <v>19.999999999999996</v>
      </c>
    </row>
    <row r="11" spans="1:62">
      <c r="A11" s="150">
        <v>173</v>
      </c>
      <c r="B11" s="95" t="s">
        <v>637</v>
      </c>
      <c r="C11" s="14">
        <v>8.8000000000000007</v>
      </c>
      <c r="D11" s="14">
        <v>7.55</v>
      </c>
      <c r="E11" s="14">
        <f t="shared" si="3"/>
        <v>16.350000000000001</v>
      </c>
      <c r="F11" s="8"/>
      <c r="G11" s="150">
        <v>179</v>
      </c>
      <c r="H11" s="95" t="s">
        <v>654</v>
      </c>
      <c r="I11" s="14">
        <v>8.6999999999999993</v>
      </c>
      <c r="J11" s="14">
        <v>5.9</v>
      </c>
      <c r="K11" s="14">
        <f t="shared" si="4"/>
        <v>14.6</v>
      </c>
      <c r="L11" s="8"/>
      <c r="M11" s="150">
        <v>185</v>
      </c>
      <c r="N11" s="95" t="s">
        <v>248</v>
      </c>
      <c r="O11" s="14">
        <v>8.85</v>
      </c>
      <c r="P11" s="14">
        <v>7.2</v>
      </c>
      <c r="Q11" s="14">
        <f t="shared" si="5"/>
        <v>16.05</v>
      </c>
      <c r="R11" s="8"/>
      <c r="U11" s="16" t="s">
        <v>626</v>
      </c>
      <c r="V11" s="149">
        <v>173</v>
      </c>
      <c r="W11" s="93" t="s">
        <v>637</v>
      </c>
      <c r="X11" s="14">
        <f>C11</f>
        <v>8.8000000000000007</v>
      </c>
      <c r="Y11" s="283">
        <f t="shared" si="0"/>
        <v>7</v>
      </c>
      <c r="Z11" s="14">
        <f t="shared" si="7"/>
        <v>7.55</v>
      </c>
      <c r="AA11" s="283">
        <f t="shared" si="0"/>
        <v>6.0000000000000009</v>
      </c>
      <c r="AB11" s="69">
        <f>Table351550526[[#This Row],[Floor4]]+Table351550526[[#This Row],[Vault6]]</f>
        <v>16.350000000000001</v>
      </c>
      <c r="AC11" s="283">
        <f t="shared" ref="AC11" si="10">SUMPRODUCT((AB$7:AB$103&gt;AB11)/COUNTIF(AB$7:AB$103,AB$7:AB$103&amp;""))+1</f>
        <v>4</v>
      </c>
    </row>
    <row r="12" spans="1:62">
      <c r="A12" s="150">
        <v>174</v>
      </c>
      <c r="B12" s="108" t="s">
        <v>638</v>
      </c>
      <c r="C12" s="14">
        <v>8.9499999999999993</v>
      </c>
      <c r="D12" s="14">
        <v>7.4</v>
      </c>
      <c r="E12" s="14">
        <f t="shared" si="3"/>
        <v>16.350000000000001</v>
      </c>
      <c r="F12" s="8"/>
      <c r="G12" s="150">
        <v>180</v>
      </c>
      <c r="H12" s="95" t="s">
        <v>235</v>
      </c>
      <c r="I12" s="14">
        <v>8</v>
      </c>
      <c r="J12" s="14">
        <v>7.15</v>
      </c>
      <c r="K12" s="14">
        <f t="shared" si="4"/>
        <v>15.15</v>
      </c>
      <c r="L12" s="8"/>
      <c r="M12" s="150">
        <v>186</v>
      </c>
      <c r="N12" s="108" t="s">
        <v>655</v>
      </c>
      <c r="O12" s="14">
        <v>8.65</v>
      </c>
      <c r="P12" s="14">
        <v>7.5</v>
      </c>
      <c r="Q12" s="14">
        <f t="shared" si="5"/>
        <v>16.149999999999999</v>
      </c>
      <c r="R12" s="8"/>
      <c r="U12" s="16" t="s">
        <v>626</v>
      </c>
      <c r="V12" s="149">
        <v>174</v>
      </c>
      <c r="W12" s="100" t="s">
        <v>638</v>
      </c>
      <c r="X12" s="14">
        <f t="shared" si="6"/>
        <v>8.9499999999999993</v>
      </c>
      <c r="Y12" s="283">
        <f t="shared" si="0"/>
        <v>4</v>
      </c>
      <c r="Z12" s="14">
        <f>D12</f>
        <v>7.4</v>
      </c>
      <c r="AA12" s="283">
        <f t="shared" si="0"/>
        <v>9.0000000000000018</v>
      </c>
      <c r="AB12" s="69">
        <f>Table351550526[[#This Row],[Floor4]]+Table351550526[[#This Row],[Vault6]]</f>
        <v>16.350000000000001</v>
      </c>
      <c r="AC12" s="283">
        <f t="shared" ref="AC12" si="11">SUMPRODUCT((AB$7:AB$103&gt;AB12)/COUNTIF(AB$7:AB$103,AB$7:AB$103&amp;""))+1</f>
        <v>4</v>
      </c>
    </row>
    <row r="13" spans="1:62">
      <c r="A13" s="150">
        <v>175</v>
      </c>
      <c r="B13" s="359"/>
      <c r="C13" s="14">
        <v>0</v>
      </c>
      <c r="D13" s="14">
        <v>0</v>
      </c>
      <c r="E13" s="14">
        <f t="shared" si="3"/>
        <v>0</v>
      </c>
      <c r="F13" s="8"/>
      <c r="G13" s="150">
        <v>181</v>
      </c>
      <c r="H13" s="359"/>
      <c r="I13" s="14">
        <v>0</v>
      </c>
      <c r="J13" s="14">
        <v>0</v>
      </c>
      <c r="K13" s="14">
        <f t="shared" si="4"/>
        <v>0</v>
      </c>
      <c r="L13" s="8"/>
      <c r="M13" s="150">
        <v>187</v>
      </c>
      <c r="N13" s="108" t="s">
        <v>656</v>
      </c>
      <c r="O13" s="14">
        <v>8.5500000000000007</v>
      </c>
      <c r="P13" s="14">
        <v>6.75</v>
      </c>
      <c r="Q13" s="14">
        <f t="shared" si="5"/>
        <v>15.3</v>
      </c>
      <c r="R13" s="8"/>
      <c r="U13" s="16" t="s">
        <v>234</v>
      </c>
      <c r="V13" s="149">
        <v>176</v>
      </c>
      <c r="W13" s="93" t="s">
        <v>651</v>
      </c>
      <c r="X13" s="14">
        <f>I8</f>
        <v>7.75</v>
      </c>
      <c r="Y13" s="283">
        <f t="shared" si="0"/>
        <v>24.999999999999989</v>
      </c>
      <c r="Z13" s="14">
        <f>J8</f>
        <v>7.3</v>
      </c>
      <c r="AA13" s="283">
        <f t="shared" si="0"/>
        <v>11.000000000000004</v>
      </c>
      <c r="AB13" s="69">
        <f>Table351550526[[#This Row],[Floor4]]+Table351550526[[#This Row],[Vault6]]</f>
        <v>15.05</v>
      </c>
      <c r="AC13" s="283">
        <f t="shared" ref="AC13" si="12">SUMPRODUCT((AB$7:AB$103&gt;AB13)/COUNTIF(AB$7:AB$103,AB$7:AB$103&amp;""))+1</f>
        <v>26.999999999999993</v>
      </c>
    </row>
    <row r="14" spans="1:62" ht="16.5" thickBot="1">
      <c r="A14" s="8"/>
      <c r="B14" s="18" t="s">
        <v>10</v>
      </c>
      <c r="C14" s="19">
        <f>SUM(C8:C13)-SMALL(C8:C13,1)-SMALL(C8:C13,2)</f>
        <v>34.400000000000006</v>
      </c>
      <c r="D14" s="19">
        <f>SUM(D8:D13)-SMALL(D8:D13,1)-SMALL(D8:D13,2)</f>
        <v>30.25</v>
      </c>
      <c r="E14" s="20">
        <f>SUM(C14:D14)</f>
        <v>64.650000000000006</v>
      </c>
      <c r="F14" s="8"/>
      <c r="G14" s="8"/>
      <c r="H14" s="18" t="s">
        <v>10</v>
      </c>
      <c r="I14" s="19">
        <f>SUM(I8:I13)-SMALL(I8:I13,1)-SMALL(I8:I13,2)</f>
        <v>32.6</v>
      </c>
      <c r="J14" s="19">
        <f>SUM(J8:J13)-SMALL(J8:J13,1)-SMALL(J8:J13,2)</f>
        <v>26.75</v>
      </c>
      <c r="K14" s="20">
        <f>SUM(I14:J14)</f>
        <v>59.35</v>
      </c>
      <c r="L14" s="8"/>
      <c r="M14" s="8"/>
      <c r="N14" s="18" t="s">
        <v>10</v>
      </c>
      <c r="O14" s="19">
        <f>SUM(O8:O13)-SMALL(O8:O13,1)-SMALL(O8:O13,2)</f>
        <v>35.35</v>
      </c>
      <c r="P14" s="19">
        <f>SUM(P8:P13)-SMALL(P8:P13,1)-SMALL(P8:P13,2)</f>
        <v>29.849999999999998</v>
      </c>
      <c r="Q14" s="20">
        <f>SUM(O14:P14)</f>
        <v>65.2</v>
      </c>
      <c r="R14" s="8"/>
      <c r="U14" s="16" t="s">
        <v>234</v>
      </c>
      <c r="V14" s="149">
        <v>177</v>
      </c>
      <c r="W14" s="93" t="s">
        <v>652</v>
      </c>
      <c r="X14" s="14">
        <f t="shared" ref="X14:X17" si="13">I9</f>
        <v>8.15</v>
      </c>
      <c r="Y14" s="283">
        <f t="shared" si="0"/>
        <v>18.999999999999993</v>
      </c>
      <c r="Z14" s="14">
        <f t="shared" ref="Z14:Z17" si="14">J9</f>
        <v>6.4</v>
      </c>
      <c r="AA14" s="283">
        <f t="shared" si="0"/>
        <v>25.999999999999986</v>
      </c>
      <c r="AB14" s="69">
        <f>Table351550526[[#This Row],[Floor4]]+Table351550526[[#This Row],[Vault6]]</f>
        <v>14.55</v>
      </c>
      <c r="AC14" s="283">
        <f t="shared" ref="AC14" si="15">SUMPRODUCT((AB$7:AB$103&gt;AB14)/COUNTIF(AB$7:AB$103,AB$7:AB$103&amp;""))+1</f>
        <v>34.999999999999986</v>
      </c>
    </row>
    <row r="15" spans="1:62">
      <c r="A15" s="8"/>
      <c r="B15" s="360" t="s">
        <v>37</v>
      </c>
      <c r="C15" s="8"/>
      <c r="D15" s="18"/>
      <c r="E15" s="22"/>
      <c r="F15" s="8"/>
      <c r="G15" s="8"/>
      <c r="H15" s="360" t="s">
        <v>37</v>
      </c>
      <c r="I15" s="8"/>
      <c r="J15" s="18"/>
      <c r="K15" s="22"/>
      <c r="L15" s="8"/>
      <c r="M15" s="8"/>
      <c r="N15" s="360" t="s">
        <v>37</v>
      </c>
      <c r="O15" s="8"/>
      <c r="P15" s="18"/>
      <c r="Q15" s="22"/>
      <c r="R15" s="8"/>
      <c r="U15" s="16" t="s">
        <v>234</v>
      </c>
      <c r="V15" s="149">
        <v>178</v>
      </c>
      <c r="W15" s="93" t="s">
        <v>653</v>
      </c>
      <c r="X15" s="14">
        <f t="shared" si="13"/>
        <v>7.6</v>
      </c>
      <c r="Y15" s="283">
        <f t="shared" si="0"/>
        <v>26.999999999999993</v>
      </c>
      <c r="Z15" s="14">
        <f t="shared" si="14"/>
        <v>5.9</v>
      </c>
      <c r="AA15" s="283">
        <f t="shared" si="0"/>
        <v>28.999999999999986</v>
      </c>
      <c r="AB15" s="69">
        <f>Table351550526[[#This Row],[Floor4]]+Table351550526[[#This Row],[Vault6]]</f>
        <v>13.5</v>
      </c>
      <c r="AC15" s="283">
        <f t="shared" ref="AC15" si="16">SUMPRODUCT((AB$7:AB$103&gt;AB15)/COUNTIF(AB$7:AB$103,AB$7:AB$103&amp;""))+1</f>
        <v>38.999999999999993</v>
      </c>
    </row>
    <row r="16" spans="1:6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U16" s="16" t="s">
        <v>234</v>
      </c>
      <c r="V16" s="149">
        <v>179</v>
      </c>
      <c r="W16" s="93" t="s">
        <v>654</v>
      </c>
      <c r="X16" s="14">
        <f>I11</f>
        <v>8.6999999999999993</v>
      </c>
      <c r="Y16" s="283">
        <f t="shared" si="0"/>
        <v>10</v>
      </c>
      <c r="Z16" s="14">
        <f>J11</f>
        <v>5.9</v>
      </c>
      <c r="AA16" s="283">
        <f t="shared" si="0"/>
        <v>28.999999999999986</v>
      </c>
      <c r="AB16" s="69">
        <f>Table351550526[[#This Row],[Floor4]]+Table351550526[[#This Row],[Vault6]]</f>
        <v>14.6</v>
      </c>
      <c r="AC16" s="283">
        <f t="shared" ref="AC16" si="17">SUMPRODUCT((AB$7:AB$103&gt;AB16)/COUNTIF(AB$7:AB$103,AB$7:AB$103&amp;""))+1</f>
        <v>33.999999999999986</v>
      </c>
    </row>
    <row r="17" spans="1:29">
      <c r="A17" s="348" t="s">
        <v>252</v>
      </c>
      <c r="B17" s="349"/>
      <c r="C17" s="349"/>
      <c r="D17" s="349"/>
      <c r="E17" s="350"/>
      <c r="F17" s="8"/>
      <c r="G17" s="348" t="s">
        <v>279</v>
      </c>
      <c r="H17" s="349"/>
      <c r="I17" s="349"/>
      <c r="J17" s="349"/>
      <c r="K17" s="350"/>
      <c r="L17" s="8"/>
      <c r="M17" s="470" t="s">
        <v>280</v>
      </c>
      <c r="N17" s="471"/>
      <c r="O17" s="471"/>
      <c r="P17" s="471"/>
      <c r="Q17" s="471"/>
      <c r="R17" s="472"/>
      <c r="U17" s="16" t="s">
        <v>234</v>
      </c>
      <c r="V17" s="149">
        <v>180</v>
      </c>
      <c r="W17" s="93" t="s">
        <v>235</v>
      </c>
      <c r="X17" s="14">
        <f t="shared" si="13"/>
        <v>8</v>
      </c>
      <c r="Y17" s="283">
        <f t="shared" si="0"/>
        <v>21.999999999999989</v>
      </c>
      <c r="Z17" s="14">
        <f t="shared" si="14"/>
        <v>7.15</v>
      </c>
      <c r="AA17" s="283">
        <f t="shared" si="0"/>
        <v>14.000000000000002</v>
      </c>
      <c r="AB17" s="69">
        <f>Table351550526[[#This Row],[Floor4]]+Table351550526[[#This Row],[Vault6]]</f>
        <v>15.15</v>
      </c>
      <c r="AC17" s="283">
        <f t="shared" ref="AC17" si="18">SUMPRODUCT((AB$7:AB$103&gt;AB17)/COUNTIF(AB$7:AB$103,AB$7:AB$103&amp;""))+1</f>
        <v>24.999999999999996</v>
      </c>
    </row>
    <row r="18" spans="1:29">
      <c r="A18" s="354" t="s">
        <v>1</v>
      </c>
      <c r="B18" s="354" t="s">
        <v>2</v>
      </c>
      <c r="C18" s="354" t="s">
        <v>3</v>
      </c>
      <c r="D18" s="354" t="s">
        <v>4</v>
      </c>
      <c r="E18" s="354" t="s">
        <v>5</v>
      </c>
      <c r="F18" s="8"/>
      <c r="G18" s="354" t="s">
        <v>1</v>
      </c>
      <c r="H18" s="354" t="s">
        <v>2</v>
      </c>
      <c r="I18" s="354" t="s">
        <v>3</v>
      </c>
      <c r="J18" s="354" t="s">
        <v>4</v>
      </c>
      <c r="K18" s="354" t="s">
        <v>5</v>
      </c>
      <c r="L18" s="8"/>
      <c r="M18" s="354" t="s">
        <v>1</v>
      </c>
      <c r="N18" s="354" t="s">
        <v>2</v>
      </c>
      <c r="O18" s="354" t="s">
        <v>3</v>
      </c>
      <c r="P18" s="354" t="s">
        <v>4</v>
      </c>
      <c r="Q18" s="354" t="s">
        <v>5</v>
      </c>
      <c r="R18" s="8"/>
      <c r="U18" s="16" t="s">
        <v>234</v>
      </c>
      <c r="V18" s="149">
        <v>182</v>
      </c>
      <c r="W18" s="93" t="s">
        <v>232</v>
      </c>
      <c r="X18" s="14">
        <f>O8</f>
        <v>8.85</v>
      </c>
      <c r="Y18" s="283">
        <f t="shared" si="0"/>
        <v>6</v>
      </c>
      <c r="Z18" s="14">
        <f>P8</f>
        <v>7.35</v>
      </c>
      <c r="AA18" s="283">
        <f t="shared" si="0"/>
        <v>10</v>
      </c>
      <c r="AB18" s="69">
        <f>Table351550526[[#This Row],[Floor4]]+Table351550526[[#This Row],[Vault6]]</f>
        <v>16.2</v>
      </c>
      <c r="AC18" s="283">
        <f t="shared" ref="AC18" si="19">SUMPRODUCT((AB$7:AB$103&gt;AB18)/COUNTIF(AB$7:AB$103,AB$7:AB$103&amp;""))+1</f>
        <v>7.9999999999999991</v>
      </c>
    </row>
    <row r="19" spans="1:29">
      <c r="A19" s="150">
        <v>188</v>
      </c>
      <c r="B19" s="95" t="s">
        <v>267</v>
      </c>
      <c r="C19" s="14">
        <v>9</v>
      </c>
      <c r="D19" s="14">
        <v>7.15</v>
      </c>
      <c r="E19" s="14">
        <f>SUM(C19,D19)</f>
        <v>16.149999999999999</v>
      </c>
      <c r="F19" s="8"/>
      <c r="G19" s="150">
        <v>194</v>
      </c>
      <c r="H19" s="95" t="s">
        <v>717</v>
      </c>
      <c r="I19" s="14">
        <v>8.65</v>
      </c>
      <c r="J19" s="14">
        <v>7.1</v>
      </c>
      <c r="K19" s="14">
        <f>SUM(I19,J19)</f>
        <v>15.75</v>
      </c>
      <c r="L19" s="8"/>
      <c r="M19" s="150">
        <v>200</v>
      </c>
      <c r="N19" s="95" t="s">
        <v>721</v>
      </c>
      <c r="O19" s="14">
        <v>8.75</v>
      </c>
      <c r="P19" s="14">
        <v>7.3</v>
      </c>
      <c r="Q19" s="14">
        <f>SUM(O19,P19)</f>
        <v>16.05</v>
      </c>
      <c r="R19" s="8"/>
      <c r="U19" s="16" t="s">
        <v>234</v>
      </c>
      <c r="V19" s="149">
        <v>183</v>
      </c>
      <c r="W19" s="93" t="s">
        <v>246</v>
      </c>
      <c r="X19" s="14">
        <f t="shared" ref="X19:X23" si="20">O9</f>
        <v>8.75</v>
      </c>
      <c r="Y19" s="283">
        <f t="shared" si="0"/>
        <v>9</v>
      </c>
      <c r="Z19" s="14">
        <f t="shared" ref="Z19:Z23" si="21">P9</f>
        <v>7.35</v>
      </c>
      <c r="AA19" s="283">
        <f t="shared" si="0"/>
        <v>10</v>
      </c>
      <c r="AB19" s="69">
        <f>Table351550526[[#This Row],[Floor4]]+Table351550526[[#This Row],[Vault6]]</f>
        <v>16.100000000000001</v>
      </c>
      <c r="AC19" s="283">
        <f t="shared" ref="AC19" si="22">SUMPRODUCT((AB$7:AB$103&gt;AB19)/COUNTIF(AB$7:AB$103,AB$7:AB$103&amp;""))+1</f>
        <v>10</v>
      </c>
    </row>
    <row r="20" spans="1:29">
      <c r="A20" s="150">
        <v>189</v>
      </c>
      <c r="B20" s="365" t="s">
        <v>258</v>
      </c>
      <c r="C20" s="14">
        <v>8.8000000000000007</v>
      </c>
      <c r="D20" s="14">
        <v>7.35</v>
      </c>
      <c r="E20" s="14">
        <f t="shared" ref="E20:E24" si="23">SUM(C20,D20)</f>
        <v>16.149999999999999</v>
      </c>
      <c r="F20" s="8"/>
      <c r="G20" s="150">
        <v>195</v>
      </c>
      <c r="H20" s="95" t="s">
        <v>286</v>
      </c>
      <c r="I20" s="14">
        <v>8.35</v>
      </c>
      <c r="J20" s="14">
        <v>7.4</v>
      </c>
      <c r="K20" s="14">
        <f t="shared" ref="K20:K24" si="24">SUM(I20,J20)</f>
        <v>15.75</v>
      </c>
      <c r="L20" s="8"/>
      <c r="M20" s="150">
        <v>201</v>
      </c>
      <c r="N20" s="95" t="s">
        <v>722</v>
      </c>
      <c r="O20" s="14">
        <v>8.1999999999999993</v>
      </c>
      <c r="P20" s="14">
        <v>7.4</v>
      </c>
      <c r="Q20" s="14">
        <f t="shared" ref="Q20:Q24" si="25">SUM(O20,P20)</f>
        <v>15.6</v>
      </c>
      <c r="R20" s="8"/>
      <c r="U20" s="16" t="s">
        <v>234</v>
      </c>
      <c r="V20" s="149">
        <v>184</v>
      </c>
      <c r="W20" s="93" t="s">
        <v>244</v>
      </c>
      <c r="X20" s="14">
        <f t="shared" si="20"/>
        <v>8.9</v>
      </c>
      <c r="Y20" s="283">
        <f t="shared" si="0"/>
        <v>5</v>
      </c>
      <c r="Z20" s="14">
        <f t="shared" si="21"/>
        <v>7.65</v>
      </c>
      <c r="AA20" s="283">
        <f t="shared" si="0"/>
        <v>4</v>
      </c>
      <c r="AB20" s="69">
        <f>Table351550526[[#This Row],[Floor4]]+Table351550526[[#This Row],[Vault6]]</f>
        <v>16.55</v>
      </c>
      <c r="AC20" s="283">
        <f t="shared" ref="AC20" si="26">SUMPRODUCT((AB$7:AB$103&gt;AB20)/COUNTIF(AB$7:AB$103,AB$7:AB$103&amp;""))+1</f>
        <v>2</v>
      </c>
    </row>
    <row r="21" spans="1:29">
      <c r="A21" s="150">
        <v>190</v>
      </c>
      <c r="B21" s="95" t="s">
        <v>80</v>
      </c>
      <c r="C21" s="14">
        <v>9.0500000000000007</v>
      </c>
      <c r="D21" s="14">
        <v>7.25</v>
      </c>
      <c r="E21" s="14">
        <f t="shared" si="23"/>
        <v>16.3</v>
      </c>
      <c r="F21" s="8"/>
      <c r="G21" s="150">
        <v>196</v>
      </c>
      <c r="H21" s="95" t="s">
        <v>718</v>
      </c>
      <c r="I21" s="14">
        <v>8.15</v>
      </c>
      <c r="J21" s="14">
        <v>7.4</v>
      </c>
      <c r="K21" s="14">
        <f t="shared" si="24"/>
        <v>15.55</v>
      </c>
      <c r="L21" s="8"/>
      <c r="M21" s="150">
        <v>202</v>
      </c>
      <c r="N21" s="95" t="s">
        <v>723</v>
      </c>
      <c r="O21" s="14">
        <v>7.5</v>
      </c>
      <c r="P21" s="14">
        <v>7.2</v>
      </c>
      <c r="Q21" s="14">
        <f t="shared" si="25"/>
        <v>14.7</v>
      </c>
      <c r="R21" s="8"/>
      <c r="U21" s="16" t="s">
        <v>234</v>
      </c>
      <c r="V21" s="149">
        <v>185</v>
      </c>
      <c r="W21" s="93" t="s">
        <v>248</v>
      </c>
      <c r="X21" s="14">
        <f>O11</f>
        <v>8.85</v>
      </c>
      <c r="Y21" s="283">
        <f t="shared" si="0"/>
        <v>6</v>
      </c>
      <c r="Z21" s="14">
        <f t="shared" si="21"/>
        <v>7.2</v>
      </c>
      <c r="AA21" s="283">
        <f t="shared" si="0"/>
        <v>13.000000000000002</v>
      </c>
      <c r="AB21" s="69">
        <f>Table351550526[[#This Row],[Floor4]]+Table351550526[[#This Row],[Vault6]]</f>
        <v>16.05</v>
      </c>
      <c r="AC21" s="283">
        <f t="shared" ref="AC21" si="27">SUMPRODUCT((AB$7:AB$103&gt;AB21)/COUNTIF(AB$7:AB$103,AB$7:AB$103&amp;""))+1</f>
        <v>12</v>
      </c>
    </row>
    <row r="22" spans="1:29">
      <c r="A22" s="150">
        <v>191</v>
      </c>
      <c r="B22" s="95" t="s">
        <v>44</v>
      </c>
      <c r="C22" s="14">
        <v>8.8000000000000007</v>
      </c>
      <c r="D22" s="14">
        <v>7.35</v>
      </c>
      <c r="E22" s="14">
        <f t="shared" si="23"/>
        <v>16.149999999999999</v>
      </c>
      <c r="F22" s="8"/>
      <c r="G22" s="150">
        <v>197</v>
      </c>
      <c r="H22" s="95" t="s">
        <v>449</v>
      </c>
      <c r="I22" s="14">
        <v>8.5</v>
      </c>
      <c r="J22" s="14">
        <v>7.6</v>
      </c>
      <c r="K22" s="14">
        <f t="shared" si="24"/>
        <v>16.100000000000001</v>
      </c>
      <c r="L22" s="8"/>
      <c r="M22" s="150">
        <v>203</v>
      </c>
      <c r="N22" s="95" t="s">
        <v>290</v>
      </c>
      <c r="O22" s="14">
        <v>8.35</v>
      </c>
      <c r="P22" s="14">
        <v>7.15</v>
      </c>
      <c r="Q22" s="14">
        <f t="shared" si="25"/>
        <v>15.5</v>
      </c>
      <c r="R22" s="8"/>
      <c r="U22" s="16" t="s">
        <v>234</v>
      </c>
      <c r="V22" s="149">
        <v>186</v>
      </c>
      <c r="W22" s="100" t="s">
        <v>655</v>
      </c>
      <c r="X22" s="14">
        <f t="shared" si="20"/>
        <v>8.65</v>
      </c>
      <c r="Y22" s="283">
        <f t="shared" si="0"/>
        <v>11</v>
      </c>
      <c r="Z22" s="14">
        <f>P12</f>
        <v>7.5</v>
      </c>
      <c r="AA22" s="283">
        <f t="shared" si="0"/>
        <v>7.0000000000000009</v>
      </c>
      <c r="AB22" s="69">
        <f>Table351550526[[#This Row],[Floor4]]+Table351550526[[#This Row],[Vault6]]</f>
        <v>16.149999999999999</v>
      </c>
      <c r="AC22" s="283">
        <f t="shared" ref="AC22" si="28">SUMPRODUCT((AB$7:AB$103&gt;AB22)/COUNTIF(AB$7:AB$103,AB$7:AB$103&amp;""))+1</f>
        <v>9</v>
      </c>
    </row>
    <row r="23" spans="1:29">
      <c r="A23" s="150">
        <v>192</v>
      </c>
      <c r="B23" s="95" t="s">
        <v>79</v>
      </c>
      <c r="C23" s="14">
        <v>8.8000000000000007</v>
      </c>
      <c r="D23" s="14">
        <v>7.45</v>
      </c>
      <c r="E23" s="14">
        <f t="shared" si="23"/>
        <v>16.25</v>
      </c>
      <c r="F23" s="8"/>
      <c r="G23" s="150">
        <v>198</v>
      </c>
      <c r="H23" s="95" t="s">
        <v>719</v>
      </c>
      <c r="I23" s="14">
        <v>8.3000000000000007</v>
      </c>
      <c r="J23" s="14">
        <v>7.3</v>
      </c>
      <c r="K23" s="14">
        <f t="shared" si="24"/>
        <v>15.600000000000001</v>
      </c>
      <c r="L23" s="8"/>
      <c r="M23" s="150">
        <v>204</v>
      </c>
      <c r="N23" s="95" t="s">
        <v>292</v>
      </c>
      <c r="O23" s="14">
        <v>8.5500000000000007</v>
      </c>
      <c r="P23" s="14">
        <v>6.9</v>
      </c>
      <c r="Q23" s="14">
        <f t="shared" si="25"/>
        <v>15.450000000000001</v>
      </c>
      <c r="R23" s="8"/>
      <c r="U23" s="16" t="s">
        <v>234</v>
      </c>
      <c r="V23" s="149">
        <v>187</v>
      </c>
      <c r="W23" s="100" t="s">
        <v>656</v>
      </c>
      <c r="X23" s="14">
        <f t="shared" si="20"/>
        <v>8.5500000000000007</v>
      </c>
      <c r="Y23" s="283">
        <f t="shared" si="0"/>
        <v>12</v>
      </c>
      <c r="Z23" s="14">
        <f t="shared" si="21"/>
        <v>6.75</v>
      </c>
      <c r="AA23" s="283">
        <f t="shared" si="0"/>
        <v>19.999999999999993</v>
      </c>
      <c r="AB23" s="69">
        <f>Table351550526[[#This Row],[Floor4]]+Table351550526[[#This Row],[Vault6]]</f>
        <v>15.3</v>
      </c>
      <c r="AC23" s="283">
        <f t="shared" ref="AC23" si="29">SUMPRODUCT((AB$7:AB$103&gt;AB23)/COUNTIF(AB$7:AB$103,AB$7:AB$103&amp;""))+1</f>
        <v>23</v>
      </c>
    </row>
    <row r="24" spans="1:29">
      <c r="A24" s="150">
        <v>193</v>
      </c>
      <c r="B24" s="95" t="s">
        <v>43</v>
      </c>
      <c r="C24" s="14">
        <v>8.65</v>
      </c>
      <c r="D24" s="14">
        <v>6.5</v>
      </c>
      <c r="E24" s="14">
        <f t="shared" si="23"/>
        <v>15.15</v>
      </c>
      <c r="F24" s="8"/>
      <c r="G24" s="150">
        <v>199</v>
      </c>
      <c r="H24" s="95" t="s">
        <v>720</v>
      </c>
      <c r="I24" s="14">
        <v>8.85</v>
      </c>
      <c r="J24" s="14">
        <v>7.3</v>
      </c>
      <c r="K24" s="14">
        <f t="shared" si="24"/>
        <v>16.149999999999999</v>
      </c>
      <c r="L24" s="8"/>
      <c r="M24" s="150">
        <v>205</v>
      </c>
      <c r="N24" s="359"/>
      <c r="O24" s="14">
        <v>0</v>
      </c>
      <c r="P24" s="14">
        <v>0</v>
      </c>
      <c r="Q24" s="14">
        <f t="shared" si="25"/>
        <v>0</v>
      </c>
      <c r="R24" s="8"/>
      <c r="U24" s="16" t="s">
        <v>135</v>
      </c>
      <c r="V24" s="149">
        <v>188</v>
      </c>
      <c r="W24" s="95" t="s">
        <v>267</v>
      </c>
      <c r="X24" s="14">
        <f>C19</f>
        <v>9</v>
      </c>
      <c r="Y24" s="283">
        <f t="shared" si="0"/>
        <v>3</v>
      </c>
      <c r="Z24" s="14">
        <f>D19</f>
        <v>7.15</v>
      </c>
      <c r="AA24" s="283">
        <f t="shared" si="0"/>
        <v>14.000000000000002</v>
      </c>
      <c r="AB24" s="69">
        <f>Table351550526[[#This Row],[Floor4]]+Table351550526[[#This Row],[Vault6]]</f>
        <v>16.149999999999999</v>
      </c>
      <c r="AC24" s="283">
        <f t="shared" ref="AC24" si="30">SUMPRODUCT((AB$7:AB$103&gt;AB24)/COUNTIF(AB$7:AB$103,AB$7:AB$103&amp;""))+1</f>
        <v>9</v>
      </c>
    </row>
    <row r="25" spans="1:29" ht="16.5" thickBot="1">
      <c r="A25" s="8"/>
      <c r="B25" s="18" t="s">
        <v>10</v>
      </c>
      <c r="C25" s="19">
        <f>SUM(C19:C24)-SMALL(C19:C24,1)-SMALL(C19:C24,2)</f>
        <v>35.650000000000006</v>
      </c>
      <c r="D25" s="19">
        <f>SUM(D19:D24)-SMALL(D19:D24,1)-SMALL(D19:D24,2)</f>
        <v>29.400000000000006</v>
      </c>
      <c r="E25" s="20">
        <f>SUM(C25:D25)</f>
        <v>65.050000000000011</v>
      </c>
      <c r="F25" s="8"/>
      <c r="G25" s="8"/>
      <c r="H25" s="18" t="s">
        <v>10</v>
      </c>
      <c r="I25" s="19">
        <f>SUM(I19:I24)-SMALL(I19:I24,1)-SMALL(I19:I24,2)</f>
        <v>34.350000000000009</v>
      </c>
      <c r="J25" s="19">
        <f>SUM(J19:J24)-SMALL(J19:J24,1)-SMALL(J19:J24,2)</f>
        <v>29.699999999999992</v>
      </c>
      <c r="K25" s="20">
        <f>SUM(I25:J25)</f>
        <v>64.05</v>
      </c>
      <c r="L25" s="8"/>
      <c r="M25" s="8"/>
      <c r="N25" s="18" t="s">
        <v>10</v>
      </c>
      <c r="O25" s="19">
        <f>SUM(O19:O24)-SMALL(O19:O24,1)-SMALL(O19:O24,2)</f>
        <v>33.849999999999994</v>
      </c>
      <c r="P25" s="19">
        <f>SUM(P19:P24)-SMALL(P19:P24,1)-SMALL(P19:P24,2)</f>
        <v>29.049999999999997</v>
      </c>
      <c r="Q25" s="20">
        <f>SUM(O25:P25)</f>
        <v>62.899999999999991</v>
      </c>
      <c r="R25" s="8"/>
      <c r="U25" s="16" t="s">
        <v>135</v>
      </c>
      <c r="V25" s="149">
        <v>189</v>
      </c>
      <c r="W25" s="95" t="s">
        <v>258</v>
      </c>
      <c r="X25" s="14">
        <f t="shared" ref="X25:X29" si="31">C20</f>
        <v>8.8000000000000007</v>
      </c>
      <c r="Y25" s="283">
        <f t="shared" si="0"/>
        <v>7</v>
      </c>
      <c r="Z25" s="14">
        <f t="shared" ref="Z25:Z29" si="32">D20</f>
        <v>7.35</v>
      </c>
      <c r="AA25" s="283">
        <f t="shared" si="0"/>
        <v>10</v>
      </c>
      <c r="AB25" s="69">
        <f>Table351550526[[#This Row],[Floor4]]+Table351550526[[#This Row],[Vault6]]</f>
        <v>16.149999999999999</v>
      </c>
      <c r="AC25" s="283">
        <f t="shared" ref="AC25" si="33">SUMPRODUCT((AB$7:AB$103&gt;AB25)/COUNTIF(AB$7:AB$103,AB$7:AB$103&amp;""))+1</f>
        <v>9</v>
      </c>
    </row>
    <row r="26" spans="1:29">
      <c r="A26" s="8"/>
      <c r="B26" s="360" t="s">
        <v>37</v>
      </c>
      <c r="C26" s="8"/>
      <c r="D26" s="18"/>
      <c r="E26" s="22"/>
      <c r="F26" s="8"/>
      <c r="G26" s="8"/>
      <c r="H26" s="360" t="s">
        <v>37</v>
      </c>
      <c r="I26" s="8"/>
      <c r="J26" s="18"/>
      <c r="K26" s="22"/>
      <c r="L26" s="8"/>
      <c r="M26" s="8"/>
      <c r="N26" s="360" t="s">
        <v>37</v>
      </c>
      <c r="O26" s="8"/>
      <c r="P26" s="18"/>
      <c r="Q26" s="22"/>
      <c r="R26" s="8"/>
      <c r="U26" s="16" t="s">
        <v>135</v>
      </c>
      <c r="V26" s="149">
        <v>190</v>
      </c>
      <c r="W26" s="95" t="s">
        <v>80</v>
      </c>
      <c r="X26" s="14">
        <f t="shared" si="31"/>
        <v>9.0500000000000007</v>
      </c>
      <c r="Y26" s="283">
        <f t="shared" si="0"/>
        <v>2</v>
      </c>
      <c r="Z26" s="14">
        <f t="shared" si="32"/>
        <v>7.25</v>
      </c>
      <c r="AA26" s="283">
        <f t="shared" si="0"/>
        <v>12.000000000000004</v>
      </c>
      <c r="AB26" s="69">
        <f>Table351550526[[#This Row],[Floor4]]+Table351550526[[#This Row],[Vault6]]</f>
        <v>16.3</v>
      </c>
      <c r="AC26" s="283">
        <f t="shared" ref="AC26" si="34">SUMPRODUCT((AB$7:AB$103&gt;AB26)/COUNTIF(AB$7:AB$103,AB$7:AB$103&amp;""))+1</f>
        <v>5</v>
      </c>
    </row>
    <row r="27" spans="1:29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U27" s="16" t="s">
        <v>135</v>
      </c>
      <c r="V27" s="149">
        <v>191</v>
      </c>
      <c r="W27" s="95" t="s">
        <v>44</v>
      </c>
      <c r="X27" s="14">
        <f t="shared" si="31"/>
        <v>8.8000000000000007</v>
      </c>
      <c r="Y27" s="283">
        <f t="shared" si="0"/>
        <v>7</v>
      </c>
      <c r="Z27" s="14">
        <f>D22</f>
        <v>7.35</v>
      </c>
      <c r="AA27" s="283">
        <f t="shared" si="0"/>
        <v>10</v>
      </c>
      <c r="AB27" s="69">
        <f>Table351550526[[#This Row],[Floor4]]+Table351550526[[#This Row],[Vault6]]</f>
        <v>16.149999999999999</v>
      </c>
      <c r="AC27" s="283">
        <f t="shared" ref="AC27" si="35">SUMPRODUCT((AB$7:AB$103&gt;AB27)/COUNTIF(AB$7:AB$103,AB$7:AB$103&amp;""))+1</f>
        <v>9</v>
      </c>
    </row>
    <row r="28" spans="1:29">
      <c r="A28" s="348" t="s">
        <v>298</v>
      </c>
      <c r="B28" s="349"/>
      <c r="C28" s="349"/>
      <c r="D28" s="349"/>
      <c r="E28" s="350"/>
      <c r="F28" s="8"/>
      <c r="G28" s="348" t="s">
        <v>800</v>
      </c>
      <c r="H28" s="349"/>
      <c r="I28" s="349"/>
      <c r="J28" s="349"/>
      <c r="K28" s="350"/>
      <c r="L28" s="267"/>
      <c r="M28" s="348" t="s">
        <v>350</v>
      </c>
      <c r="N28" s="349"/>
      <c r="O28" s="349"/>
      <c r="P28" s="349"/>
      <c r="Q28" s="350"/>
      <c r="R28" s="8"/>
      <c r="U28" s="16" t="s">
        <v>135</v>
      </c>
      <c r="V28" s="149">
        <v>192</v>
      </c>
      <c r="W28" s="95" t="s">
        <v>79</v>
      </c>
      <c r="X28" s="14">
        <f>C23</f>
        <v>8.8000000000000007</v>
      </c>
      <c r="Y28" s="283">
        <f t="shared" si="0"/>
        <v>7</v>
      </c>
      <c r="Z28" s="14">
        <f t="shared" si="32"/>
        <v>7.45</v>
      </c>
      <c r="AA28" s="283">
        <f t="shared" si="0"/>
        <v>8</v>
      </c>
      <c r="AB28" s="69">
        <f>Table351550526[[#This Row],[Floor4]]+Table351550526[[#This Row],[Vault6]]</f>
        <v>16.25</v>
      </c>
      <c r="AC28" s="283">
        <f t="shared" ref="AC28" si="36">SUMPRODUCT((AB$7:AB$103&gt;AB28)/COUNTIF(AB$7:AB$103,AB$7:AB$103&amp;""))+1</f>
        <v>6.9999999999999991</v>
      </c>
    </row>
    <row r="29" spans="1:29">
      <c r="A29" s="354" t="s">
        <v>1</v>
      </c>
      <c r="B29" s="354" t="s">
        <v>2</v>
      </c>
      <c r="C29" s="354" t="s">
        <v>3</v>
      </c>
      <c r="D29" s="354" t="s">
        <v>4</v>
      </c>
      <c r="E29" s="354" t="s">
        <v>5</v>
      </c>
      <c r="F29" s="8"/>
      <c r="G29" s="354" t="s">
        <v>1</v>
      </c>
      <c r="H29" s="354" t="s">
        <v>2</v>
      </c>
      <c r="I29" s="354" t="s">
        <v>3</v>
      </c>
      <c r="J29" s="354" t="s">
        <v>4</v>
      </c>
      <c r="K29" s="354" t="s">
        <v>5</v>
      </c>
      <c r="L29" s="267"/>
      <c r="M29" s="354" t="s">
        <v>1</v>
      </c>
      <c r="N29" s="354" t="s">
        <v>2</v>
      </c>
      <c r="O29" s="354" t="s">
        <v>3</v>
      </c>
      <c r="P29" s="354" t="s">
        <v>4</v>
      </c>
      <c r="Q29" s="354" t="s">
        <v>5</v>
      </c>
      <c r="R29" s="8"/>
      <c r="U29" s="16" t="s">
        <v>135</v>
      </c>
      <c r="V29" s="149">
        <v>193</v>
      </c>
      <c r="W29" s="95" t="s">
        <v>43</v>
      </c>
      <c r="X29" s="14">
        <f t="shared" si="31"/>
        <v>8.65</v>
      </c>
      <c r="Y29" s="283">
        <f t="shared" si="0"/>
        <v>11</v>
      </c>
      <c r="Z29" s="14">
        <f t="shared" si="32"/>
        <v>6.5</v>
      </c>
      <c r="AA29" s="283">
        <f t="shared" si="0"/>
        <v>23.999999999999993</v>
      </c>
      <c r="AB29" s="69">
        <f>Table351550526[[#This Row],[Floor4]]+Table351550526[[#This Row],[Vault6]]</f>
        <v>15.15</v>
      </c>
      <c r="AC29" s="283">
        <f t="shared" ref="AC29" si="37">SUMPRODUCT((AB$7:AB$103&gt;AB29)/COUNTIF(AB$7:AB$103,AB$7:AB$103&amp;""))+1</f>
        <v>24.999999999999996</v>
      </c>
    </row>
    <row r="30" spans="1:29">
      <c r="A30" s="150">
        <v>206</v>
      </c>
      <c r="B30" s="95" t="s">
        <v>752</v>
      </c>
      <c r="C30" s="14">
        <v>7.5</v>
      </c>
      <c r="D30" s="14">
        <v>7.45</v>
      </c>
      <c r="E30" s="14">
        <f>SUM(C30,D30)</f>
        <v>14.95</v>
      </c>
      <c r="F30" s="8"/>
      <c r="G30" s="150">
        <v>212</v>
      </c>
      <c r="H30" s="95" t="s">
        <v>326</v>
      </c>
      <c r="I30" s="14">
        <v>8.1</v>
      </c>
      <c r="J30" s="14">
        <v>7.3</v>
      </c>
      <c r="K30" s="14">
        <f>SUM(I30,J30)</f>
        <v>15.399999999999999</v>
      </c>
      <c r="L30" s="267">
        <v>193</v>
      </c>
      <c r="M30" s="150">
        <v>218</v>
      </c>
      <c r="N30" s="95" t="s">
        <v>362</v>
      </c>
      <c r="O30" s="14">
        <v>7.75</v>
      </c>
      <c r="P30" s="14">
        <v>6.4</v>
      </c>
      <c r="Q30" s="14">
        <f>SUM(O30,P30)</f>
        <v>14.15</v>
      </c>
      <c r="R30" s="8"/>
      <c r="U30" s="16" t="s">
        <v>81</v>
      </c>
      <c r="V30" s="149">
        <v>261</v>
      </c>
      <c r="W30" s="100" t="s">
        <v>686</v>
      </c>
      <c r="X30" s="14">
        <f>I63</f>
        <v>7.5</v>
      </c>
      <c r="Y30" s="283">
        <f t="shared" si="0"/>
        <v>27.999999999999996</v>
      </c>
      <c r="Z30" s="14">
        <f>J63</f>
        <v>7.5</v>
      </c>
      <c r="AA30" s="283">
        <f t="shared" si="0"/>
        <v>7.0000000000000009</v>
      </c>
      <c r="AB30" s="69">
        <f>Table351550526[[#This Row],[Floor4]]+Table351550526[[#This Row],[Vault6]]</f>
        <v>15</v>
      </c>
      <c r="AC30" s="283">
        <f t="shared" ref="AC30" si="38">SUMPRODUCT((AB$7:AB$103&gt;AB30)/COUNTIF(AB$7:AB$103,AB$7:AB$103&amp;""))+1</f>
        <v>27.999999999999989</v>
      </c>
    </row>
    <row r="31" spans="1:29">
      <c r="A31" s="150">
        <v>207</v>
      </c>
      <c r="B31" s="95" t="s">
        <v>753</v>
      </c>
      <c r="C31" s="14">
        <v>8.25</v>
      </c>
      <c r="D31" s="14">
        <v>7.5</v>
      </c>
      <c r="E31" s="14">
        <f t="shared" ref="E31:E35" si="39">SUM(C31,D31)</f>
        <v>15.75</v>
      </c>
      <c r="F31" s="8"/>
      <c r="G31" s="408">
        <v>213</v>
      </c>
      <c r="H31" s="439" t="s">
        <v>337</v>
      </c>
      <c r="I31" s="401">
        <v>0</v>
      </c>
      <c r="J31" s="401">
        <v>0</v>
      </c>
      <c r="K31" s="401">
        <f t="shared" ref="K31:K35" si="40">SUM(I31,J31)</f>
        <v>0</v>
      </c>
      <c r="L31" s="267">
        <v>194</v>
      </c>
      <c r="M31" s="150">
        <v>219</v>
      </c>
      <c r="N31" s="95" t="s">
        <v>359</v>
      </c>
      <c r="O31" s="14">
        <v>8.3000000000000007</v>
      </c>
      <c r="P31" s="14">
        <v>7.1</v>
      </c>
      <c r="Q31" s="14">
        <f t="shared" ref="Q31:Q35" si="41">SUM(O31,P31)</f>
        <v>15.4</v>
      </c>
      <c r="R31" s="8"/>
      <c r="U31" s="16" t="s">
        <v>706</v>
      </c>
      <c r="V31" s="149">
        <v>194</v>
      </c>
      <c r="W31" s="93" t="s">
        <v>717</v>
      </c>
      <c r="X31" s="14">
        <f>I19</f>
        <v>8.65</v>
      </c>
      <c r="Y31" s="283">
        <f t="shared" si="0"/>
        <v>11</v>
      </c>
      <c r="Z31" s="14">
        <f>J19</f>
        <v>7.1</v>
      </c>
      <c r="AA31" s="283">
        <f t="shared" si="0"/>
        <v>15</v>
      </c>
      <c r="AB31" s="69">
        <f>Table351550526[[#This Row],[Floor4]]+Table351550526[[#This Row],[Vault6]]</f>
        <v>15.75</v>
      </c>
      <c r="AC31" s="283">
        <f t="shared" ref="AC31" si="42">SUMPRODUCT((AB$7:AB$103&gt;AB31)/COUNTIF(AB$7:AB$103,AB$7:AB$103&amp;""))+1</f>
        <v>15</v>
      </c>
    </row>
    <row r="32" spans="1:29">
      <c r="A32" s="150">
        <v>208</v>
      </c>
      <c r="B32" s="95" t="s">
        <v>754</v>
      </c>
      <c r="C32" s="14">
        <v>8.1999999999999993</v>
      </c>
      <c r="D32" s="14">
        <v>7.6</v>
      </c>
      <c r="E32" s="14">
        <f t="shared" si="39"/>
        <v>15.799999999999999</v>
      </c>
      <c r="F32" s="8"/>
      <c r="G32" s="150">
        <v>214</v>
      </c>
      <c r="H32" s="95" t="s">
        <v>801</v>
      </c>
      <c r="I32" s="14">
        <v>8.25</v>
      </c>
      <c r="J32" s="14">
        <v>7.35</v>
      </c>
      <c r="K32" s="14">
        <f t="shared" si="40"/>
        <v>15.6</v>
      </c>
      <c r="L32" s="267"/>
      <c r="M32" s="150">
        <v>220</v>
      </c>
      <c r="N32" s="95" t="s">
        <v>804</v>
      </c>
      <c r="O32" s="14">
        <v>8.15</v>
      </c>
      <c r="P32" s="14">
        <v>6.45</v>
      </c>
      <c r="Q32" s="14">
        <f t="shared" si="41"/>
        <v>14.600000000000001</v>
      </c>
      <c r="R32" s="8"/>
      <c r="U32" s="16" t="s">
        <v>706</v>
      </c>
      <c r="V32" s="149">
        <v>195</v>
      </c>
      <c r="W32" s="93" t="s">
        <v>286</v>
      </c>
      <c r="X32" s="14">
        <f t="shared" ref="X32:X36" si="43">I20</f>
        <v>8.35</v>
      </c>
      <c r="Y32" s="283">
        <f t="shared" si="0"/>
        <v>14.999999999999996</v>
      </c>
      <c r="Z32" s="14">
        <f t="shared" ref="Z32:Z36" si="44">J20</f>
        <v>7.4</v>
      </c>
      <c r="AA32" s="283">
        <f t="shared" si="0"/>
        <v>9.0000000000000018</v>
      </c>
      <c r="AB32" s="69">
        <f>Table351550526[[#This Row],[Floor4]]+Table351550526[[#This Row],[Vault6]]</f>
        <v>15.75</v>
      </c>
      <c r="AC32" s="283">
        <f t="shared" ref="AC32" si="45">SUMPRODUCT((AB$7:AB$103&gt;AB32)/COUNTIF(AB$7:AB$103,AB$7:AB$103&amp;""))+1</f>
        <v>15</v>
      </c>
    </row>
    <row r="33" spans="1:29">
      <c r="A33" s="150">
        <v>209</v>
      </c>
      <c r="B33" s="95" t="s">
        <v>755</v>
      </c>
      <c r="C33" s="14">
        <v>7.8</v>
      </c>
      <c r="D33" s="14">
        <v>7.55</v>
      </c>
      <c r="E33" s="14">
        <f t="shared" si="39"/>
        <v>15.35</v>
      </c>
      <c r="F33" s="8"/>
      <c r="G33" s="150">
        <v>215</v>
      </c>
      <c r="H33" s="95" t="s">
        <v>802</v>
      </c>
      <c r="I33" s="14">
        <v>7.9</v>
      </c>
      <c r="J33" s="14">
        <v>7.8</v>
      </c>
      <c r="K33" s="14">
        <f t="shared" si="40"/>
        <v>15.7</v>
      </c>
      <c r="L33" s="267"/>
      <c r="M33" s="150">
        <v>221</v>
      </c>
      <c r="N33" s="95" t="s">
        <v>805</v>
      </c>
      <c r="O33" s="14">
        <v>8.1</v>
      </c>
      <c r="P33" s="14">
        <v>6.6</v>
      </c>
      <c r="Q33" s="14">
        <f t="shared" si="41"/>
        <v>14.7</v>
      </c>
      <c r="R33" s="8"/>
      <c r="U33" s="16" t="s">
        <v>706</v>
      </c>
      <c r="V33" s="149">
        <v>196</v>
      </c>
      <c r="W33" s="93" t="s">
        <v>718</v>
      </c>
      <c r="X33" s="14">
        <f>I21</f>
        <v>8.15</v>
      </c>
      <c r="Y33" s="283">
        <f t="shared" si="0"/>
        <v>18.999999999999993</v>
      </c>
      <c r="Z33" s="14">
        <f t="shared" si="44"/>
        <v>7.4</v>
      </c>
      <c r="AA33" s="283">
        <f t="shared" si="0"/>
        <v>9.0000000000000018</v>
      </c>
      <c r="AB33" s="69">
        <f>Table351550526[[#This Row],[Floor4]]+Table351550526[[#This Row],[Vault6]]</f>
        <v>15.55</v>
      </c>
      <c r="AC33" s="283">
        <f t="shared" ref="AC33" si="46">SUMPRODUCT((AB$7:AB$103&gt;AB33)/COUNTIF(AB$7:AB$103,AB$7:AB$103&amp;""))+1</f>
        <v>18</v>
      </c>
    </row>
    <row r="34" spans="1:29">
      <c r="A34" s="150">
        <v>210</v>
      </c>
      <c r="B34" s="95" t="s">
        <v>756</v>
      </c>
      <c r="C34" s="14">
        <v>7.35</v>
      </c>
      <c r="D34" s="14">
        <v>7.5</v>
      </c>
      <c r="E34" s="14">
        <f t="shared" si="39"/>
        <v>14.85</v>
      </c>
      <c r="F34" s="8"/>
      <c r="G34" s="150">
        <v>216</v>
      </c>
      <c r="H34" s="95" t="s">
        <v>803</v>
      </c>
      <c r="I34" s="14">
        <v>8.7799999999999994</v>
      </c>
      <c r="J34" s="14">
        <v>7.3</v>
      </c>
      <c r="K34" s="14">
        <f t="shared" si="40"/>
        <v>16.079999999999998</v>
      </c>
      <c r="L34" s="267"/>
      <c r="M34" s="150">
        <v>222</v>
      </c>
      <c r="N34" s="359"/>
      <c r="O34" s="14">
        <v>0</v>
      </c>
      <c r="P34" s="14">
        <v>0</v>
      </c>
      <c r="Q34" s="14">
        <f t="shared" si="41"/>
        <v>0</v>
      </c>
      <c r="R34" s="8"/>
      <c r="U34" s="16" t="s">
        <v>706</v>
      </c>
      <c r="V34" s="149">
        <v>197</v>
      </c>
      <c r="W34" s="93" t="s">
        <v>449</v>
      </c>
      <c r="X34" s="14">
        <f t="shared" si="43"/>
        <v>8.5</v>
      </c>
      <c r="Y34" s="283">
        <f t="shared" si="0"/>
        <v>13</v>
      </c>
      <c r="Z34" s="14">
        <f t="shared" si="44"/>
        <v>7.6</v>
      </c>
      <c r="AA34" s="283">
        <f t="shared" si="0"/>
        <v>5</v>
      </c>
      <c r="AB34" s="69">
        <f>Table351550526[[#This Row],[Floor4]]+Table351550526[[#This Row],[Vault6]]</f>
        <v>16.100000000000001</v>
      </c>
      <c r="AC34" s="283">
        <f t="shared" ref="AC34" si="47">SUMPRODUCT((AB$7:AB$103&gt;AB34)/COUNTIF(AB$7:AB$103,AB$7:AB$103&amp;""))+1</f>
        <v>10</v>
      </c>
    </row>
    <row r="35" spans="1:29">
      <c r="A35" s="150">
        <v>211</v>
      </c>
      <c r="B35" s="237" t="s">
        <v>1301</v>
      </c>
      <c r="C35" s="14">
        <v>8.3000000000000007</v>
      </c>
      <c r="D35" s="14">
        <v>7.45</v>
      </c>
      <c r="E35" s="14">
        <f t="shared" si="39"/>
        <v>15.75</v>
      </c>
      <c r="F35" s="8"/>
      <c r="G35" s="150">
        <v>217</v>
      </c>
      <c r="H35" s="359"/>
      <c r="I35" s="14">
        <v>0</v>
      </c>
      <c r="J35" s="14">
        <v>0</v>
      </c>
      <c r="K35" s="14">
        <f t="shared" si="40"/>
        <v>0</v>
      </c>
      <c r="L35" s="267"/>
      <c r="M35" s="150">
        <v>223</v>
      </c>
      <c r="N35" s="359"/>
      <c r="O35" s="14">
        <v>0</v>
      </c>
      <c r="P35" s="14">
        <v>0</v>
      </c>
      <c r="Q35" s="14">
        <f t="shared" si="41"/>
        <v>0</v>
      </c>
      <c r="R35" s="8"/>
      <c r="U35" s="16" t="s">
        <v>706</v>
      </c>
      <c r="V35" s="149">
        <v>198</v>
      </c>
      <c r="W35" s="93" t="s">
        <v>719</v>
      </c>
      <c r="X35" s="14">
        <f t="shared" si="43"/>
        <v>8.3000000000000007</v>
      </c>
      <c r="Y35" s="283">
        <f t="shared" si="0"/>
        <v>15.999999999999995</v>
      </c>
      <c r="Z35" s="14">
        <f>J23</f>
        <v>7.3</v>
      </c>
      <c r="AA35" s="283">
        <f t="shared" si="0"/>
        <v>11.000000000000004</v>
      </c>
      <c r="AB35" s="69">
        <f>Table351550526[[#This Row],[Floor4]]+Table351550526[[#This Row],[Vault6]]</f>
        <v>15.600000000000001</v>
      </c>
      <c r="AC35" s="283">
        <f t="shared" ref="AC35" si="48">SUMPRODUCT((AB$7:AB$103&gt;AB35)/COUNTIF(AB$7:AB$103,AB$7:AB$103&amp;""))+1</f>
        <v>17.000000000000004</v>
      </c>
    </row>
    <row r="36" spans="1:29" ht="16.5" thickBot="1">
      <c r="A36" s="8"/>
      <c r="B36" s="18" t="s">
        <v>10</v>
      </c>
      <c r="C36" s="19">
        <f>SUM(C30:C35)-SMALL(C30:C35,1)-SMALL(C30:C35,2)</f>
        <v>32.550000000000004</v>
      </c>
      <c r="D36" s="19">
        <f>SUM(D30:D35)-SMALL(D30:D35,1)-SMALL(D30:D35,2)</f>
        <v>30.149999999999995</v>
      </c>
      <c r="E36" s="20">
        <f>SUM(C36:D36)</f>
        <v>62.7</v>
      </c>
      <c r="F36" s="8"/>
      <c r="G36" s="8"/>
      <c r="H36" s="18" t="s">
        <v>10</v>
      </c>
      <c r="I36" s="19">
        <f>SUM(I30:I35)-SMALL(I30:I35,1)-SMALL(I30:I35,2)</f>
        <v>33.03</v>
      </c>
      <c r="J36" s="19">
        <f>SUM(J30:J35)-SMALL(J30:J35,1)-SMALL(J30:J35,2)</f>
        <v>29.75</v>
      </c>
      <c r="K36" s="20">
        <f>SUM(I36:J36)</f>
        <v>62.78</v>
      </c>
      <c r="L36" s="267"/>
      <c r="M36" s="8"/>
      <c r="N36" s="18" t="s">
        <v>10</v>
      </c>
      <c r="O36" s="19">
        <f>SUM(O30:O35)-SMALL(O30:O35,1)-SMALL(O30:O35,2)</f>
        <v>32.300000000000004</v>
      </c>
      <c r="P36" s="19">
        <f>SUM(P30:P35)-SMALL(P30:P35,1)-SMALL(P30:P35,2)</f>
        <v>26.549999999999997</v>
      </c>
      <c r="Q36" s="20">
        <f>SUM(O36:P36)</f>
        <v>58.85</v>
      </c>
      <c r="R36" s="8"/>
      <c r="U36" s="16" t="s">
        <v>706</v>
      </c>
      <c r="V36" s="149">
        <v>199</v>
      </c>
      <c r="W36" s="93" t="s">
        <v>720</v>
      </c>
      <c r="X36" s="14">
        <f t="shared" si="43"/>
        <v>8.85</v>
      </c>
      <c r="Y36" s="283">
        <f t="shared" si="0"/>
        <v>6</v>
      </c>
      <c r="Z36" s="14">
        <f t="shared" si="44"/>
        <v>7.3</v>
      </c>
      <c r="AA36" s="283">
        <f t="shared" si="0"/>
        <v>11.000000000000004</v>
      </c>
      <c r="AB36" s="69">
        <f>Table351550526[[#This Row],[Floor4]]+Table351550526[[#This Row],[Vault6]]</f>
        <v>16.149999999999999</v>
      </c>
      <c r="AC36" s="283">
        <f t="shared" ref="AC36" si="49">SUMPRODUCT((AB$7:AB$103&gt;AB36)/COUNTIF(AB$7:AB$103,AB$7:AB$103&amp;""))+1</f>
        <v>9</v>
      </c>
    </row>
    <row r="37" spans="1:29">
      <c r="A37" s="8"/>
      <c r="B37" s="360" t="s">
        <v>37</v>
      </c>
      <c r="C37" s="8"/>
      <c r="D37" s="18"/>
      <c r="E37" s="22"/>
      <c r="F37" s="8"/>
      <c r="G37" s="8"/>
      <c r="H37" s="360" t="s">
        <v>37</v>
      </c>
      <c r="I37" s="8"/>
      <c r="J37" s="18"/>
      <c r="K37" s="22"/>
      <c r="L37" s="267"/>
      <c r="M37" s="8"/>
      <c r="N37" s="360" t="s">
        <v>37</v>
      </c>
      <c r="O37" s="8"/>
      <c r="P37" s="18"/>
      <c r="Q37" s="22"/>
      <c r="R37" s="8"/>
      <c r="U37" s="16" t="s">
        <v>706</v>
      </c>
      <c r="V37" s="149">
        <v>200</v>
      </c>
      <c r="W37" s="93" t="s">
        <v>721</v>
      </c>
      <c r="X37" s="14">
        <f>O19</f>
        <v>8.75</v>
      </c>
      <c r="Y37" s="283">
        <f t="shared" si="0"/>
        <v>9</v>
      </c>
      <c r="Z37" s="14">
        <f>P19</f>
        <v>7.3</v>
      </c>
      <c r="AA37" s="283">
        <f t="shared" si="0"/>
        <v>11.000000000000004</v>
      </c>
      <c r="AB37" s="69">
        <f>Table351550526[[#This Row],[Floor4]]+Table351550526[[#This Row],[Vault6]]</f>
        <v>16.05</v>
      </c>
      <c r="AC37" s="283">
        <f t="shared" ref="AC37" si="50">SUMPRODUCT((AB$7:AB$103&gt;AB37)/COUNTIF(AB$7:AB$103,AB$7:AB$103&amp;""))+1</f>
        <v>12</v>
      </c>
    </row>
    <row r="38" spans="1:29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7"/>
      <c r="O38" s="68"/>
      <c r="P38" s="68"/>
      <c r="Q38" s="8"/>
      <c r="R38" s="8"/>
      <c r="U38" s="16" t="s">
        <v>706</v>
      </c>
      <c r="V38" s="149">
        <v>201</v>
      </c>
      <c r="W38" s="93" t="s">
        <v>722</v>
      </c>
      <c r="X38" s="14">
        <f t="shared" ref="X38:X41" si="51">O20</f>
        <v>8.1999999999999993</v>
      </c>
      <c r="Y38" s="283">
        <f t="shared" si="0"/>
        <v>17.999999999999993</v>
      </c>
      <c r="Z38" s="14">
        <f t="shared" ref="Z38:Z41" si="52">P20</f>
        <v>7.4</v>
      </c>
      <c r="AA38" s="283">
        <f t="shared" si="0"/>
        <v>9.0000000000000018</v>
      </c>
      <c r="AB38" s="69">
        <f>Table351550526[[#This Row],[Floor4]]+Table351550526[[#This Row],[Vault6]]</f>
        <v>15.6</v>
      </c>
      <c r="AC38" s="283">
        <f t="shared" ref="AC38" si="53">SUMPRODUCT((AB$7:AB$103&gt;AB38)/COUNTIF(AB$7:AB$103,AB$7:AB$103&amp;""))+1</f>
        <v>17.000000000000004</v>
      </c>
    </row>
    <row r="39" spans="1:29">
      <c r="A39" s="348" t="s">
        <v>157</v>
      </c>
      <c r="B39" s="349"/>
      <c r="C39" s="349"/>
      <c r="D39" s="349"/>
      <c r="E39" s="350"/>
      <c r="F39" s="267"/>
      <c r="G39" s="348" t="s">
        <v>369</v>
      </c>
      <c r="H39" s="349"/>
      <c r="I39" s="349"/>
      <c r="J39" s="349"/>
      <c r="K39" s="350"/>
      <c r="L39" s="8"/>
      <c r="M39" s="348" t="s">
        <v>912</v>
      </c>
      <c r="N39" s="349"/>
      <c r="O39" s="349"/>
      <c r="P39" s="349"/>
      <c r="Q39" s="350"/>
      <c r="R39" s="8"/>
      <c r="U39" s="16" t="s">
        <v>706</v>
      </c>
      <c r="V39" s="149">
        <v>202</v>
      </c>
      <c r="W39" s="93" t="s">
        <v>723</v>
      </c>
      <c r="X39" s="14">
        <f>O21</f>
        <v>7.5</v>
      </c>
      <c r="Y39" s="283">
        <f t="shared" si="0"/>
        <v>27.999999999999996</v>
      </c>
      <c r="Z39" s="14">
        <f>P21</f>
        <v>7.2</v>
      </c>
      <c r="AA39" s="283">
        <f t="shared" si="0"/>
        <v>13.000000000000002</v>
      </c>
      <c r="AB39" s="69">
        <f>Table351550526[[#This Row],[Floor4]]+Table351550526[[#This Row],[Vault6]]</f>
        <v>14.7</v>
      </c>
      <c r="AC39" s="283">
        <f t="shared" ref="AC39" si="54">SUMPRODUCT((AB$7:AB$103&gt;AB39)/COUNTIF(AB$7:AB$103,AB$7:AB$103&amp;""))+1</f>
        <v>32.999999999999986</v>
      </c>
    </row>
    <row r="40" spans="1:29">
      <c r="A40" s="354" t="s">
        <v>1</v>
      </c>
      <c r="B40" s="354" t="s">
        <v>2</v>
      </c>
      <c r="C40" s="354" t="s">
        <v>3</v>
      </c>
      <c r="D40" s="354" t="s">
        <v>4</v>
      </c>
      <c r="E40" s="354" t="s">
        <v>5</v>
      </c>
      <c r="F40" s="267"/>
      <c r="G40" s="354" t="s">
        <v>1</v>
      </c>
      <c r="H40" s="354" t="s">
        <v>2</v>
      </c>
      <c r="I40" s="354" t="s">
        <v>3</v>
      </c>
      <c r="J40" s="354" t="s">
        <v>4</v>
      </c>
      <c r="K40" s="354" t="s">
        <v>5</v>
      </c>
      <c r="L40" s="8"/>
      <c r="M40" s="354" t="s">
        <v>1</v>
      </c>
      <c r="N40" s="354" t="s">
        <v>2</v>
      </c>
      <c r="O40" s="354" t="s">
        <v>3</v>
      </c>
      <c r="P40" s="354" t="s">
        <v>4</v>
      </c>
      <c r="Q40" s="354" t="s">
        <v>5</v>
      </c>
      <c r="R40" s="8"/>
      <c r="U40" s="16" t="s">
        <v>706</v>
      </c>
      <c r="V40" s="149">
        <v>203</v>
      </c>
      <c r="W40" s="93" t="s">
        <v>290</v>
      </c>
      <c r="X40" s="14">
        <f t="shared" si="51"/>
        <v>8.35</v>
      </c>
      <c r="Y40" s="283">
        <f t="shared" si="0"/>
        <v>14.999999999999996</v>
      </c>
      <c r="Z40" s="14">
        <f t="shared" si="52"/>
        <v>7.15</v>
      </c>
      <c r="AA40" s="283">
        <f t="shared" si="0"/>
        <v>14.000000000000002</v>
      </c>
      <c r="AB40" s="69">
        <f>Table351550526[[#This Row],[Floor4]]+Table351550526[[#This Row],[Vault6]]</f>
        <v>15.5</v>
      </c>
      <c r="AC40" s="283">
        <f t="shared" ref="AC40" si="55">SUMPRODUCT((AB$7:AB$103&gt;AB40)/COUNTIF(AB$7:AB$103,AB$7:AB$103&amp;""))+1</f>
        <v>19</v>
      </c>
    </row>
    <row r="41" spans="1:29">
      <c r="A41" s="150">
        <v>224</v>
      </c>
      <c r="B41" s="95" t="s">
        <v>821</v>
      </c>
      <c r="C41" s="14">
        <v>6.9</v>
      </c>
      <c r="D41" s="14">
        <v>7.15</v>
      </c>
      <c r="E41" s="14">
        <f>SUM(C41,D41)</f>
        <v>14.05</v>
      </c>
      <c r="F41" s="267"/>
      <c r="G41" s="150">
        <v>230</v>
      </c>
      <c r="H41" s="95" t="s">
        <v>859</v>
      </c>
      <c r="I41" s="14">
        <v>8.5</v>
      </c>
      <c r="J41" s="14">
        <v>6.8</v>
      </c>
      <c r="K41" s="14">
        <f>SUM(I41,J41)</f>
        <v>15.3</v>
      </c>
      <c r="L41" s="8"/>
      <c r="M41" s="150">
        <v>236</v>
      </c>
      <c r="N41" s="95" t="s">
        <v>913</v>
      </c>
      <c r="O41" s="14">
        <v>6.8</v>
      </c>
      <c r="P41" s="14">
        <v>7.6</v>
      </c>
      <c r="Q41" s="14">
        <f>SUM(O41,P41)</f>
        <v>14.399999999999999</v>
      </c>
      <c r="R41" s="8"/>
      <c r="U41" s="16" t="s">
        <v>706</v>
      </c>
      <c r="V41" s="149">
        <v>204</v>
      </c>
      <c r="W41" s="93" t="s">
        <v>292</v>
      </c>
      <c r="X41" s="14">
        <f t="shared" si="51"/>
        <v>8.5500000000000007</v>
      </c>
      <c r="Y41" s="283">
        <f t="shared" si="0"/>
        <v>12</v>
      </c>
      <c r="Z41" s="14">
        <f t="shared" si="52"/>
        <v>6.9</v>
      </c>
      <c r="AA41" s="283">
        <f t="shared" si="0"/>
        <v>18</v>
      </c>
      <c r="AB41" s="69">
        <f>Table351550526[[#This Row],[Floor4]]+Table351550526[[#This Row],[Vault6]]</f>
        <v>15.450000000000001</v>
      </c>
      <c r="AC41" s="283">
        <f t="shared" ref="AC41" si="56">SUMPRODUCT((AB$7:AB$103&gt;AB41)/COUNTIF(AB$7:AB$103,AB$7:AB$103&amp;""))+1</f>
        <v>19.999999999999996</v>
      </c>
    </row>
    <row r="42" spans="1:29">
      <c r="A42" s="150">
        <v>225</v>
      </c>
      <c r="B42" s="95" t="s">
        <v>822</v>
      </c>
      <c r="C42" s="14">
        <v>8.5</v>
      </c>
      <c r="D42" s="14">
        <v>7.1</v>
      </c>
      <c r="E42" s="14">
        <f t="shared" ref="E42:E46" si="57">SUM(C42,D42)</f>
        <v>15.6</v>
      </c>
      <c r="F42" s="267"/>
      <c r="G42" s="150">
        <v>231</v>
      </c>
      <c r="H42" s="95" t="s">
        <v>860</v>
      </c>
      <c r="I42" s="14">
        <v>8.35</v>
      </c>
      <c r="J42" s="14">
        <v>7.35</v>
      </c>
      <c r="K42" s="14">
        <f t="shared" ref="K42:K46" si="58">SUM(I42,J42)</f>
        <v>15.7</v>
      </c>
      <c r="L42" s="267"/>
      <c r="M42" s="150">
        <v>237</v>
      </c>
      <c r="N42" s="95" t="s">
        <v>914</v>
      </c>
      <c r="O42" s="14">
        <v>8.35</v>
      </c>
      <c r="P42" s="14">
        <v>7.4</v>
      </c>
      <c r="Q42" s="14">
        <f t="shared" ref="Q42:Q46" si="59">SUM(O42,P42)</f>
        <v>15.75</v>
      </c>
      <c r="R42" s="8"/>
      <c r="U42" s="16" t="s">
        <v>301</v>
      </c>
      <c r="V42" s="149">
        <v>206</v>
      </c>
      <c r="W42" s="93" t="s">
        <v>752</v>
      </c>
      <c r="X42" s="14">
        <f>C30</f>
        <v>7.5</v>
      </c>
      <c r="Y42" s="283">
        <f t="shared" si="0"/>
        <v>27.999999999999996</v>
      </c>
      <c r="Z42" s="14">
        <f>D30</f>
        <v>7.45</v>
      </c>
      <c r="AA42" s="283">
        <f t="shared" si="0"/>
        <v>8</v>
      </c>
      <c r="AB42" s="69">
        <f>Table351550526[[#This Row],[Floor4]]+Table351550526[[#This Row],[Vault6]]</f>
        <v>14.95</v>
      </c>
      <c r="AC42" s="283">
        <f t="shared" ref="AC42" si="60">SUMPRODUCT((AB$7:AB$103&gt;AB42)/COUNTIF(AB$7:AB$103,AB$7:AB$103&amp;""))+1</f>
        <v>28.999999999999989</v>
      </c>
    </row>
    <row r="43" spans="1:29">
      <c r="A43" s="150">
        <v>226</v>
      </c>
      <c r="B43" s="95" t="s">
        <v>823</v>
      </c>
      <c r="C43" s="14">
        <v>8.35</v>
      </c>
      <c r="D43" s="14">
        <v>7</v>
      </c>
      <c r="E43" s="14">
        <f t="shared" si="57"/>
        <v>15.35</v>
      </c>
      <c r="F43" s="267"/>
      <c r="G43" s="408">
        <v>232</v>
      </c>
      <c r="H43" s="439" t="s">
        <v>861</v>
      </c>
      <c r="I43" s="401">
        <v>0</v>
      </c>
      <c r="J43" s="401">
        <v>0</v>
      </c>
      <c r="K43" s="401">
        <f t="shared" si="58"/>
        <v>0</v>
      </c>
      <c r="L43" s="267"/>
      <c r="M43" s="150">
        <v>238</v>
      </c>
      <c r="N43" s="95" t="s">
        <v>915</v>
      </c>
      <c r="O43" s="14">
        <v>8.1</v>
      </c>
      <c r="P43" s="14">
        <v>7.5</v>
      </c>
      <c r="Q43" s="14">
        <f t="shared" si="59"/>
        <v>15.6</v>
      </c>
      <c r="R43" s="8"/>
      <c r="U43" s="16" t="s">
        <v>301</v>
      </c>
      <c r="V43" s="149">
        <v>207</v>
      </c>
      <c r="W43" s="93" t="s">
        <v>753</v>
      </c>
      <c r="X43" s="14">
        <f t="shared" ref="X43:X45" si="61">C31</f>
        <v>8.25</v>
      </c>
      <c r="Y43" s="283">
        <f t="shared" si="0"/>
        <v>16.999999999999993</v>
      </c>
      <c r="Z43" s="14">
        <f t="shared" ref="Z43:Z45" si="62">D31</f>
        <v>7.5</v>
      </c>
      <c r="AA43" s="283">
        <f t="shared" si="0"/>
        <v>7.0000000000000009</v>
      </c>
      <c r="AB43" s="69">
        <f>Table351550526[[#This Row],[Floor4]]+Table351550526[[#This Row],[Vault6]]</f>
        <v>15.75</v>
      </c>
      <c r="AC43" s="283">
        <f t="shared" ref="AC43" si="63">SUMPRODUCT((AB$7:AB$103&gt;AB43)/COUNTIF(AB$7:AB$103,AB$7:AB$103&amp;""))+1</f>
        <v>15</v>
      </c>
    </row>
    <row r="44" spans="1:29">
      <c r="A44" s="150">
        <v>227</v>
      </c>
      <c r="B44" s="95" t="s">
        <v>824</v>
      </c>
      <c r="C44" s="14">
        <v>7.65</v>
      </c>
      <c r="D44" s="14">
        <v>6.9</v>
      </c>
      <c r="E44" s="14">
        <f t="shared" si="57"/>
        <v>14.55</v>
      </c>
      <c r="F44" s="267"/>
      <c r="G44" s="408">
        <v>233</v>
      </c>
      <c r="H44" s="439" t="s">
        <v>862</v>
      </c>
      <c r="I44" s="401">
        <v>0</v>
      </c>
      <c r="J44" s="401">
        <v>0</v>
      </c>
      <c r="K44" s="401">
        <f t="shared" si="58"/>
        <v>0</v>
      </c>
      <c r="L44" s="267"/>
      <c r="M44" s="150">
        <v>239</v>
      </c>
      <c r="N44" s="95" t="s">
        <v>916</v>
      </c>
      <c r="O44" s="14">
        <v>8.6999999999999993</v>
      </c>
      <c r="P44" s="14">
        <v>7.45</v>
      </c>
      <c r="Q44" s="14">
        <f t="shared" si="59"/>
        <v>16.149999999999999</v>
      </c>
      <c r="R44" s="8"/>
      <c r="U44" s="16" t="s">
        <v>301</v>
      </c>
      <c r="V44" s="149">
        <v>208</v>
      </c>
      <c r="W44" s="93" t="s">
        <v>754</v>
      </c>
      <c r="X44" s="14">
        <f t="shared" si="61"/>
        <v>8.1999999999999993</v>
      </c>
      <c r="Y44" s="283">
        <f t="shared" si="0"/>
        <v>17.999999999999993</v>
      </c>
      <c r="Z44" s="14">
        <f t="shared" si="62"/>
        <v>7.6</v>
      </c>
      <c r="AA44" s="283">
        <f t="shared" si="0"/>
        <v>5</v>
      </c>
      <c r="AB44" s="69">
        <f>Table351550526[[#This Row],[Floor4]]+Table351550526[[#This Row],[Vault6]]</f>
        <v>15.799999999999999</v>
      </c>
      <c r="AC44" s="283">
        <f t="shared" ref="AC44" si="64">SUMPRODUCT((AB$7:AB$103&gt;AB44)/COUNTIF(AB$7:AB$103,AB$7:AB$103&amp;""))+1</f>
        <v>14</v>
      </c>
    </row>
    <row r="45" spans="1:29">
      <c r="A45" s="150">
        <v>228</v>
      </c>
      <c r="B45" s="108" t="s">
        <v>825</v>
      </c>
      <c r="C45" s="14">
        <v>8.15</v>
      </c>
      <c r="D45" s="14">
        <v>7.2</v>
      </c>
      <c r="E45" s="14">
        <f t="shared" si="57"/>
        <v>15.350000000000001</v>
      </c>
      <c r="F45" s="267"/>
      <c r="G45" s="150">
        <v>234</v>
      </c>
      <c r="H45" s="108" t="s">
        <v>863</v>
      </c>
      <c r="I45" s="14">
        <v>8.7799999999999994</v>
      </c>
      <c r="J45" s="14">
        <v>7.5</v>
      </c>
      <c r="K45" s="14">
        <f t="shared" si="58"/>
        <v>16.28</v>
      </c>
      <c r="L45" s="267"/>
      <c r="M45" s="150">
        <v>240</v>
      </c>
      <c r="N45" s="359"/>
      <c r="O45" s="14">
        <v>0</v>
      </c>
      <c r="P45" s="14">
        <v>0</v>
      </c>
      <c r="Q45" s="14">
        <f t="shared" si="59"/>
        <v>0</v>
      </c>
      <c r="R45" s="8"/>
      <c r="U45" s="16" t="s">
        <v>301</v>
      </c>
      <c r="V45" s="149">
        <v>209</v>
      </c>
      <c r="W45" s="93" t="s">
        <v>755</v>
      </c>
      <c r="X45" s="14">
        <f t="shared" si="61"/>
        <v>7.8</v>
      </c>
      <c r="Y45" s="283">
        <f t="shared" si="0"/>
        <v>23.999999999999989</v>
      </c>
      <c r="Z45" s="14">
        <f t="shared" si="62"/>
        <v>7.55</v>
      </c>
      <c r="AA45" s="283">
        <f t="shared" si="0"/>
        <v>6.0000000000000009</v>
      </c>
      <c r="AB45" s="69">
        <f>Table351550526[[#This Row],[Floor4]]+Table351550526[[#This Row],[Vault6]]</f>
        <v>15.35</v>
      </c>
      <c r="AC45" s="283">
        <f t="shared" ref="AC45" si="65">SUMPRODUCT((AB$7:AB$103&gt;AB45)/COUNTIF(AB$7:AB$103,AB$7:AB$103&amp;""))+1</f>
        <v>22</v>
      </c>
    </row>
    <row r="46" spans="1:29">
      <c r="A46" s="150">
        <v>229</v>
      </c>
      <c r="B46" s="359"/>
      <c r="C46" s="14">
        <v>0</v>
      </c>
      <c r="D46" s="14">
        <v>0</v>
      </c>
      <c r="E46" s="14">
        <f t="shared" si="57"/>
        <v>0</v>
      </c>
      <c r="F46" s="267"/>
      <c r="G46" s="150">
        <v>235</v>
      </c>
      <c r="H46" s="108" t="s">
        <v>864</v>
      </c>
      <c r="I46" s="14">
        <v>8.5</v>
      </c>
      <c r="J46" s="14">
        <v>6.9</v>
      </c>
      <c r="K46" s="14">
        <f t="shared" si="58"/>
        <v>15.4</v>
      </c>
      <c r="L46" s="267"/>
      <c r="M46" s="150">
        <v>241</v>
      </c>
      <c r="N46" s="359"/>
      <c r="O46" s="14">
        <v>0</v>
      </c>
      <c r="P46" s="14">
        <v>0</v>
      </c>
      <c r="Q46" s="14">
        <f t="shared" si="59"/>
        <v>0</v>
      </c>
      <c r="R46" s="8"/>
      <c r="U46" s="16" t="s">
        <v>301</v>
      </c>
      <c r="V46" s="149">
        <v>210</v>
      </c>
      <c r="W46" s="93" t="s">
        <v>756</v>
      </c>
      <c r="X46" s="14">
        <f>C34</f>
        <v>7.35</v>
      </c>
      <c r="Y46" s="283">
        <f t="shared" si="0"/>
        <v>28.999999999999996</v>
      </c>
      <c r="Z46" s="14">
        <f>D34</f>
        <v>7.5</v>
      </c>
      <c r="AA46" s="283">
        <f t="shared" si="0"/>
        <v>7.0000000000000009</v>
      </c>
      <c r="AB46" s="69">
        <f>Table351550526[[#This Row],[Floor4]]+Table351550526[[#This Row],[Vault6]]</f>
        <v>14.85</v>
      </c>
      <c r="AC46" s="283">
        <f t="shared" ref="AC46" si="66">SUMPRODUCT((AB$7:AB$103&gt;AB46)/COUNTIF(AB$7:AB$103,AB$7:AB$103&amp;""))+1</f>
        <v>29.999999999999986</v>
      </c>
    </row>
    <row r="47" spans="1:29" ht="16.5" thickBot="1">
      <c r="A47" s="8"/>
      <c r="B47" s="18" t="s">
        <v>10</v>
      </c>
      <c r="C47" s="19">
        <f>SUM(C41:C46)-SMALL(C41:C46,1)-SMALL(C41:C46,2)</f>
        <v>32.65</v>
      </c>
      <c r="D47" s="19">
        <f>SUM(D41:D46)-SMALL(D41:D46,1)-SMALL(D41:D46,2)</f>
        <v>28.450000000000003</v>
      </c>
      <c r="E47" s="20">
        <f>SUM(C47:D47)</f>
        <v>61.1</v>
      </c>
      <c r="F47" s="267"/>
      <c r="G47" s="8"/>
      <c r="H47" s="18" t="s">
        <v>10</v>
      </c>
      <c r="I47" s="19">
        <f>SUM(I41:I46)-SMALL(I41:I46,1)-SMALL(I41:I46,2)</f>
        <v>34.130000000000003</v>
      </c>
      <c r="J47" s="19">
        <f>SUM(J41:J46)-SMALL(J41:J46,1)-SMALL(J41:J46,2)</f>
        <v>28.549999999999997</v>
      </c>
      <c r="K47" s="20">
        <f>SUM(I47:J47)</f>
        <v>62.68</v>
      </c>
      <c r="L47" s="267"/>
      <c r="M47" s="8"/>
      <c r="N47" s="18" t="s">
        <v>10</v>
      </c>
      <c r="O47" s="19">
        <f>SUM(O41:O46)-SMALL(O41:O46,1)-SMALL(O41:O46,2)</f>
        <v>31.95</v>
      </c>
      <c r="P47" s="19">
        <f>SUM(P41:P46)-SMALL(P41:P46,1)-SMALL(P41:P46,2)</f>
        <v>29.95</v>
      </c>
      <c r="Q47" s="20">
        <f>SUM(O47:P47)</f>
        <v>61.9</v>
      </c>
      <c r="R47" s="8"/>
      <c r="U47" s="16" t="s">
        <v>799</v>
      </c>
      <c r="V47" s="149">
        <v>212</v>
      </c>
      <c r="W47" s="93" t="s">
        <v>326</v>
      </c>
      <c r="X47" s="14">
        <f>I30</f>
        <v>8.1</v>
      </c>
      <c r="Y47" s="283">
        <f t="shared" si="0"/>
        <v>19.999999999999996</v>
      </c>
      <c r="Z47" s="14">
        <f>J30</f>
        <v>7.3</v>
      </c>
      <c r="AA47" s="283">
        <f t="shared" si="0"/>
        <v>11.000000000000004</v>
      </c>
      <c r="AB47" s="69">
        <f>Table351550526[[#This Row],[Floor4]]+Table351550526[[#This Row],[Vault6]]</f>
        <v>15.399999999999999</v>
      </c>
      <c r="AC47" s="283">
        <f t="shared" ref="AC47" si="67">SUMPRODUCT((AB$7:AB$103&gt;AB47)/COUNTIF(AB$7:AB$103,AB$7:AB$103&amp;""))+1</f>
        <v>21</v>
      </c>
    </row>
    <row r="48" spans="1:29">
      <c r="A48" s="8"/>
      <c r="B48" s="360" t="s">
        <v>37</v>
      </c>
      <c r="C48" s="8"/>
      <c r="D48" s="18"/>
      <c r="E48" s="22"/>
      <c r="F48" s="8"/>
      <c r="G48" s="8"/>
      <c r="H48" s="360" t="s">
        <v>37</v>
      </c>
      <c r="I48" s="8"/>
      <c r="J48" s="18"/>
      <c r="K48" s="22"/>
      <c r="L48" s="267"/>
      <c r="M48" s="8"/>
      <c r="N48" s="360" t="s">
        <v>37</v>
      </c>
      <c r="O48" s="8"/>
      <c r="P48" s="18"/>
      <c r="Q48" s="22"/>
      <c r="R48" s="8"/>
      <c r="U48" s="406" t="s">
        <v>799</v>
      </c>
      <c r="V48" s="396">
        <v>213</v>
      </c>
      <c r="W48" s="436" t="s">
        <v>337</v>
      </c>
      <c r="X48" s="401">
        <f t="shared" ref="X48:X51" si="68">I31</f>
        <v>0</v>
      </c>
      <c r="Y48" s="402">
        <f t="shared" si="0"/>
        <v>33.000000000000014</v>
      </c>
      <c r="Z48" s="401">
        <f t="shared" ref="Z48:Z50" si="69">J31</f>
        <v>0</v>
      </c>
      <c r="AA48" s="402">
        <f t="shared" si="0"/>
        <v>29.999999999999979</v>
      </c>
      <c r="AB48" s="403">
        <f>Table351550526[[#This Row],[Floor4]]+Table351550526[[#This Row],[Vault6]]</f>
        <v>0</v>
      </c>
      <c r="AC48" s="402">
        <f t="shared" ref="AC48" si="70">SUMPRODUCT((AB$7:AB$103&gt;AB48)/COUNTIF(AB$7:AB$103,AB$7:AB$103&amp;""))+1</f>
        <v>49.999999999999993</v>
      </c>
    </row>
    <row r="49" spans="1:29">
      <c r="A49" s="8"/>
      <c r="B49" s="8"/>
      <c r="C49" s="8"/>
      <c r="D49" s="8"/>
      <c r="E49" s="8"/>
      <c r="F49" s="8"/>
      <c r="G49" s="267"/>
      <c r="H49" s="267"/>
      <c r="I49" s="267"/>
      <c r="J49" s="267"/>
      <c r="K49" s="267"/>
      <c r="L49" s="267"/>
      <c r="M49" s="267"/>
      <c r="N49" s="8"/>
      <c r="O49" s="8"/>
      <c r="P49" s="8"/>
      <c r="Q49" s="267"/>
      <c r="R49" s="8"/>
      <c r="U49" s="16" t="s">
        <v>799</v>
      </c>
      <c r="V49" s="149">
        <v>214</v>
      </c>
      <c r="W49" s="93" t="s">
        <v>801</v>
      </c>
      <c r="X49" s="14">
        <f t="shared" si="68"/>
        <v>8.25</v>
      </c>
      <c r="Y49" s="283">
        <f t="shared" si="0"/>
        <v>16.999999999999993</v>
      </c>
      <c r="Z49" s="14">
        <f>J32</f>
        <v>7.35</v>
      </c>
      <c r="AA49" s="283">
        <f t="shared" si="0"/>
        <v>10</v>
      </c>
      <c r="AB49" s="69">
        <f>Table351550526[[#This Row],[Floor4]]+Table351550526[[#This Row],[Vault6]]</f>
        <v>15.6</v>
      </c>
      <c r="AC49" s="283">
        <f t="shared" ref="AC49" si="71">SUMPRODUCT((AB$7:AB$103&gt;AB49)/COUNTIF(AB$7:AB$103,AB$7:AB$103&amp;""))+1</f>
        <v>17.000000000000004</v>
      </c>
    </row>
    <row r="50" spans="1:29">
      <c r="A50" s="276" t="s">
        <v>388</v>
      </c>
      <c r="B50" s="349"/>
      <c r="C50" s="349"/>
      <c r="D50" s="349"/>
      <c r="E50" s="350"/>
      <c r="F50" s="8"/>
      <c r="G50" s="348" t="s">
        <v>1071</v>
      </c>
      <c r="H50" s="349"/>
      <c r="I50" s="349"/>
      <c r="J50" s="349"/>
      <c r="K50" s="350"/>
      <c r="L50" s="267"/>
      <c r="M50" s="348" t="s">
        <v>1072</v>
      </c>
      <c r="N50" s="349"/>
      <c r="O50" s="349"/>
      <c r="P50" s="349"/>
      <c r="Q50" s="350"/>
      <c r="R50" s="8"/>
      <c r="U50" s="16" t="s">
        <v>799</v>
      </c>
      <c r="V50" s="149">
        <v>215</v>
      </c>
      <c r="W50" s="93" t="s">
        <v>802</v>
      </c>
      <c r="X50" s="14">
        <f>I33</f>
        <v>7.9</v>
      </c>
      <c r="Y50" s="283">
        <f t="shared" si="0"/>
        <v>22.999999999999989</v>
      </c>
      <c r="Z50" s="14">
        <f t="shared" si="69"/>
        <v>7.8</v>
      </c>
      <c r="AA50" s="283">
        <f t="shared" si="0"/>
        <v>3</v>
      </c>
      <c r="AB50" s="69">
        <f>Table351550526[[#This Row],[Floor4]]+Table351550526[[#This Row],[Vault6]]</f>
        <v>15.7</v>
      </c>
      <c r="AC50" s="283">
        <f t="shared" ref="AC50" si="72">SUMPRODUCT((AB$7:AB$103&gt;AB50)/COUNTIF(AB$7:AB$103,AB$7:AB$103&amp;""))+1</f>
        <v>15.999999999999998</v>
      </c>
    </row>
    <row r="51" spans="1:29">
      <c r="A51" s="354" t="s">
        <v>1</v>
      </c>
      <c r="B51" s="354" t="s">
        <v>2</v>
      </c>
      <c r="C51" s="354" t="s">
        <v>3</v>
      </c>
      <c r="D51" s="354" t="s">
        <v>4</v>
      </c>
      <c r="E51" s="354" t="s">
        <v>5</v>
      </c>
      <c r="F51" s="8"/>
      <c r="G51" s="354" t="s">
        <v>1</v>
      </c>
      <c r="H51" s="354" t="s">
        <v>2</v>
      </c>
      <c r="I51" s="354" t="s">
        <v>3</v>
      </c>
      <c r="J51" s="354" t="s">
        <v>4</v>
      </c>
      <c r="K51" s="354" t="s">
        <v>5</v>
      </c>
      <c r="L51" s="267"/>
      <c r="M51" s="354" t="s">
        <v>1</v>
      </c>
      <c r="N51" s="354" t="s">
        <v>2</v>
      </c>
      <c r="O51" s="354" t="s">
        <v>3</v>
      </c>
      <c r="P51" s="354" t="s">
        <v>4</v>
      </c>
      <c r="Q51" s="354" t="s">
        <v>5</v>
      </c>
      <c r="R51" s="8"/>
      <c r="U51" s="16" t="s">
        <v>799</v>
      </c>
      <c r="V51" s="149">
        <v>216</v>
      </c>
      <c r="W51" s="93" t="s">
        <v>803</v>
      </c>
      <c r="X51" s="14">
        <f t="shared" si="68"/>
        <v>8.7799999999999994</v>
      </c>
      <c r="Y51" s="283">
        <f t="shared" si="0"/>
        <v>7.9999999999999991</v>
      </c>
      <c r="Z51" s="14">
        <f>J34</f>
        <v>7.3</v>
      </c>
      <c r="AA51" s="283">
        <f t="shared" si="0"/>
        <v>11.000000000000004</v>
      </c>
      <c r="AB51" s="69">
        <f>Table351550526[[#This Row],[Floor4]]+Table351550526[[#This Row],[Vault6]]</f>
        <v>16.079999999999998</v>
      </c>
      <c r="AC51" s="283">
        <f t="shared" ref="AC51" si="73">SUMPRODUCT((AB$7:AB$103&gt;AB51)/COUNTIF(AB$7:AB$103,AB$7:AB$103&amp;""))+1</f>
        <v>11.000000000000002</v>
      </c>
    </row>
    <row r="52" spans="1:29">
      <c r="A52" s="364">
        <v>242</v>
      </c>
      <c r="B52" s="95" t="s">
        <v>396</v>
      </c>
      <c r="C52" s="14">
        <v>7.9</v>
      </c>
      <c r="D52" s="14">
        <v>7.45</v>
      </c>
      <c r="E52" s="14">
        <f>SUM(C52,D52)</f>
        <v>15.350000000000001</v>
      </c>
      <c r="F52" s="8"/>
      <c r="G52" s="364">
        <v>248</v>
      </c>
      <c r="H52" s="95" t="s">
        <v>1347</v>
      </c>
      <c r="I52" s="14">
        <v>5</v>
      </c>
      <c r="J52" s="14">
        <v>6.9</v>
      </c>
      <c r="K52" s="14">
        <f>SUM(I52,J52)</f>
        <v>11.9</v>
      </c>
      <c r="L52" s="267"/>
      <c r="M52" s="364">
        <v>254</v>
      </c>
      <c r="N52" s="108" t="s">
        <v>1079</v>
      </c>
      <c r="O52" s="14">
        <v>5</v>
      </c>
      <c r="P52" s="14">
        <v>7.2</v>
      </c>
      <c r="Q52" s="14">
        <f>SUM(O52,P52)</f>
        <v>12.2</v>
      </c>
      <c r="R52" s="8"/>
      <c r="U52" s="16" t="s">
        <v>799</v>
      </c>
      <c r="V52" s="149">
        <v>218</v>
      </c>
      <c r="W52" s="93" t="s">
        <v>362</v>
      </c>
      <c r="X52" s="14">
        <f>O30</f>
        <v>7.75</v>
      </c>
      <c r="Y52" s="283">
        <f t="shared" si="0"/>
        <v>24.999999999999989</v>
      </c>
      <c r="Z52" s="14">
        <f>P30</f>
        <v>6.4</v>
      </c>
      <c r="AA52" s="283">
        <f t="shared" si="0"/>
        <v>25.999999999999986</v>
      </c>
      <c r="AB52" s="69">
        <f>Table351550526[[#This Row],[Floor4]]+Table351550526[[#This Row],[Vault6]]</f>
        <v>14.15</v>
      </c>
      <c r="AC52" s="283">
        <f t="shared" ref="AC52" si="74">SUMPRODUCT((AB$7:AB$103&gt;AB52)/COUNTIF(AB$7:AB$103,AB$7:AB$103&amp;""))+1</f>
        <v>36.999999999999986</v>
      </c>
    </row>
    <row r="53" spans="1:29">
      <c r="A53" s="364">
        <v>243</v>
      </c>
      <c r="B53" s="95" t="s">
        <v>145</v>
      </c>
      <c r="C53" s="14">
        <v>8.5500000000000007</v>
      </c>
      <c r="D53" s="14">
        <v>8</v>
      </c>
      <c r="E53" s="14">
        <f t="shared" ref="E53:E57" si="75">SUM(C53,D53)</f>
        <v>16.55</v>
      </c>
      <c r="F53" s="8"/>
      <c r="G53" s="364">
        <v>249</v>
      </c>
      <c r="H53" s="95" t="s">
        <v>1074</v>
      </c>
      <c r="I53" s="14">
        <v>5</v>
      </c>
      <c r="J53" s="14">
        <v>6.3</v>
      </c>
      <c r="K53" s="14">
        <f t="shared" ref="K53:K57" si="76">SUM(I53,J53)</f>
        <v>11.3</v>
      </c>
      <c r="L53" s="267"/>
      <c r="M53" s="364">
        <v>255</v>
      </c>
      <c r="N53" s="281" t="s">
        <v>1099</v>
      </c>
      <c r="O53" s="14">
        <v>5</v>
      </c>
      <c r="P53" s="14">
        <v>6.8</v>
      </c>
      <c r="Q53" s="14">
        <f t="shared" ref="Q53:Q57" si="77">SUM(O53,P53)</f>
        <v>11.8</v>
      </c>
      <c r="R53" s="8"/>
      <c r="U53" s="16" t="s">
        <v>799</v>
      </c>
      <c r="V53" s="149">
        <v>219</v>
      </c>
      <c r="W53" s="93" t="s">
        <v>359</v>
      </c>
      <c r="X53" s="14">
        <f t="shared" ref="X53:X55" si="78">O31</f>
        <v>8.3000000000000007</v>
      </c>
      <c r="Y53" s="283">
        <f t="shared" si="0"/>
        <v>15.999999999999995</v>
      </c>
      <c r="Z53" s="14">
        <f t="shared" ref="Z53:Z55" si="79">P31</f>
        <v>7.1</v>
      </c>
      <c r="AA53" s="283">
        <f t="shared" si="0"/>
        <v>15</v>
      </c>
      <c r="AB53" s="69">
        <f>Table351550526[[#This Row],[Floor4]]+Table351550526[[#This Row],[Vault6]]</f>
        <v>15.4</v>
      </c>
      <c r="AC53" s="283">
        <f t="shared" ref="AC53" si="80">SUMPRODUCT((AB$7:AB$103&gt;AB53)/COUNTIF(AB$7:AB$103,AB$7:AB$103&amp;""))+1</f>
        <v>21</v>
      </c>
    </row>
    <row r="54" spans="1:29">
      <c r="A54" s="364">
        <v>244</v>
      </c>
      <c r="B54" s="95" t="s">
        <v>1010</v>
      </c>
      <c r="C54" s="14">
        <v>8.5</v>
      </c>
      <c r="D54" s="14">
        <v>7.35</v>
      </c>
      <c r="E54" s="14">
        <f t="shared" si="75"/>
        <v>15.85</v>
      </c>
      <c r="F54" s="8"/>
      <c r="G54" s="364">
        <v>250</v>
      </c>
      <c r="H54" s="95" t="s">
        <v>1075</v>
      </c>
      <c r="I54" s="374">
        <v>5</v>
      </c>
      <c r="J54" s="374">
        <v>0</v>
      </c>
      <c r="K54" s="374">
        <f t="shared" si="76"/>
        <v>5</v>
      </c>
      <c r="L54" s="267"/>
      <c r="M54" s="408">
        <v>256</v>
      </c>
      <c r="N54" s="439" t="s">
        <v>1081</v>
      </c>
      <c r="O54" s="401">
        <v>0</v>
      </c>
      <c r="P54" s="401">
        <v>0</v>
      </c>
      <c r="Q54" s="401">
        <f t="shared" si="77"/>
        <v>0</v>
      </c>
      <c r="R54" s="8"/>
      <c r="U54" s="16" t="s">
        <v>799</v>
      </c>
      <c r="V54" s="149">
        <v>220</v>
      </c>
      <c r="W54" s="93" t="s">
        <v>804</v>
      </c>
      <c r="X54" s="14">
        <f t="shared" si="78"/>
        <v>8.15</v>
      </c>
      <c r="Y54" s="283">
        <f t="shared" si="0"/>
        <v>18.999999999999993</v>
      </c>
      <c r="Z54" s="14">
        <f>P32</f>
        <v>6.45</v>
      </c>
      <c r="AA54" s="283">
        <f t="shared" si="0"/>
        <v>24.999999999999986</v>
      </c>
      <c r="AB54" s="69">
        <f>Table351550526[[#This Row],[Floor4]]+Table351550526[[#This Row],[Vault6]]</f>
        <v>14.600000000000001</v>
      </c>
      <c r="AC54" s="283">
        <f t="shared" ref="AC54" si="81">SUMPRODUCT((AB$7:AB$103&gt;AB54)/COUNTIF(AB$7:AB$103,AB$7:AB$103&amp;""))+1</f>
        <v>33.999999999999986</v>
      </c>
    </row>
    <row r="55" spans="1:29">
      <c r="A55" s="364">
        <v>245</v>
      </c>
      <c r="B55" s="95" t="s">
        <v>1011</v>
      </c>
      <c r="C55" s="14">
        <v>7.75</v>
      </c>
      <c r="D55" s="14">
        <v>7.35</v>
      </c>
      <c r="E55" s="14">
        <f t="shared" si="75"/>
        <v>15.1</v>
      </c>
      <c r="F55" s="8"/>
      <c r="G55" s="364">
        <v>251</v>
      </c>
      <c r="H55" s="95" t="s">
        <v>1076</v>
      </c>
      <c r="I55" s="14">
        <v>5</v>
      </c>
      <c r="J55" s="14">
        <v>7.05</v>
      </c>
      <c r="K55" s="14">
        <f t="shared" si="76"/>
        <v>12.05</v>
      </c>
      <c r="L55" s="267"/>
      <c r="M55" s="364">
        <v>257</v>
      </c>
      <c r="N55" s="95" t="s">
        <v>451</v>
      </c>
      <c r="O55" s="14">
        <v>5</v>
      </c>
      <c r="P55" s="14">
        <v>6.4</v>
      </c>
      <c r="Q55" s="14">
        <f t="shared" si="77"/>
        <v>11.4</v>
      </c>
      <c r="R55" s="8"/>
      <c r="U55" s="16" t="s">
        <v>799</v>
      </c>
      <c r="V55" s="149">
        <v>221</v>
      </c>
      <c r="W55" s="93" t="s">
        <v>805</v>
      </c>
      <c r="X55" s="14">
        <f t="shared" si="78"/>
        <v>8.1</v>
      </c>
      <c r="Y55" s="283">
        <f t="shared" si="0"/>
        <v>19.999999999999996</v>
      </c>
      <c r="Z55" s="14">
        <f t="shared" si="79"/>
        <v>6.6</v>
      </c>
      <c r="AA55" s="283">
        <f t="shared" si="0"/>
        <v>21.999999999999993</v>
      </c>
      <c r="AB55" s="69">
        <f>Table351550526[[#This Row],[Floor4]]+Table351550526[[#This Row],[Vault6]]</f>
        <v>14.7</v>
      </c>
      <c r="AC55" s="283">
        <f t="shared" ref="AC55" si="82">SUMPRODUCT((AB$7:AB$103&gt;AB55)/COUNTIF(AB$7:AB$103,AB$7:AB$103&amp;""))+1</f>
        <v>32.999999999999986</v>
      </c>
    </row>
    <row r="56" spans="1:29">
      <c r="A56" s="364">
        <v>246</v>
      </c>
      <c r="B56" s="95" t="s">
        <v>1371</v>
      </c>
      <c r="C56" s="14">
        <v>8</v>
      </c>
      <c r="D56" s="14">
        <v>7.45</v>
      </c>
      <c r="E56" s="14">
        <f t="shared" si="75"/>
        <v>15.45</v>
      </c>
      <c r="F56" s="8"/>
      <c r="G56" s="364">
        <v>252</v>
      </c>
      <c r="H56" s="108" t="s">
        <v>1077</v>
      </c>
      <c r="I56" s="14">
        <v>5</v>
      </c>
      <c r="J56" s="14">
        <v>6.35</v>
      </c>
      <c r="K56" s="14">
        <f t="shared" si="76"/>
        <v>11.35</v>
      </c>
      <c r="L56" s="267"/>
      <c r="M56" s="408">
        <v>258</v>
      </c>
      <c r="N56" s="439" t="s">
        <v>452</v>
      </c>
      <c r="O56" s="401">
        <v>0</v>
      </c>
      <c r="P56" s="401">
        <v>0</v>
      </c>
      <c r="Q56" s="401">
        <f t="shared" si="77"/>
        <v>0</v>
      </c>
      <c r="R56" s="8"/>
      <c r="U56" s="16" t="s">
        <v>222</v>
      </c>
      <c r="V56" s="149">
        <v>224</v>
      </c>
      <c r="W56" s="93" t="s">
        <v>821</v>
      </c>
      <c r="X56" s="14">
        <f>C41</f>
        <v>6.9</v>
      </c>
      <c r="Y56" s="283">
        <f t="shared" si="0"/>
        <v>29.999999999999996</v>
      </c>
      <c r="Z56" s="14">
        <f>D41</f>
        <v>7.15</v>
      </c>
      <c r="AA56" s="283">
        <f t="shared" si="0"/>
        <v>14.000000000000002</v>
      </c>
      <c r="AB56" s="69">
        <f>Table351550526[[#This Row],[Floor4]]+Table351550526[[#This Row],[Vault6]]</f>
        <v>14.05</v>
      </c>
      <c r="AC56" s="283">
        <f t="shared" ref="AC56" si="83">SUMPRODUCT((AB$7:AB$103&gt;AB56)/COUNTIF(AB$7:AB$103,AB$7:AB$103&amp;""))+1</f>
        <v>37.999999999999986</v>
      </c>
    </row>
    <row r="57" spans="1:29">
      <c r="A57" s="364">
        <v>247</v>
      </c>
      <c r="B57" s="359"/>
      <c r="C57" s="14">
        <v>0</v>
      </c>
      <c r="D57" s="14">
        <v>0</v>
      </c>
      <c r="E57" s="14">
        <f t="shared" si="75"/>
        <v>0</v>
      </c>
      <c r="F57" s="8"/>
      <c r="G57" s="364">
        <v>253</v>
      </c>
      <c r="H57" s="108" t="s">
        <v>1078</v>
      </c>
      <c r="I57" s="14">
        <v>5</v>
      </c>
      <c r="J57" s="14">
        <v>7.15</v>
      </c>
      <c r="K57" s="14">
        <f t="shared" si="76"/>
        <v>12.15</v>
      </c>
      <c r="L57" s="267"/>
      <c r="M57" s="364">
        <v>259</v>
      </c>
      <c r="N57" s="95" t="s">
        <v>1082</v>
      </c>
      <c r="O57" s="14">
        <v>5</v>
      </c>
      <c r="P57" s="14">
        <v>6.4</v>
      </c>
      <c r="Q57" s="14">
        <f t="shared" si="77"/>
        <v>11.4</v>
      </c>
      <c r="R57" s="8"/>
      <c r="U57" s="16" t="s">
        <v>222</v>
      </c>
      <c r="V57" s="149">
        <v>225</v>
      </c>
      <c r="W57" s="93" t="s">
        <v>822</v>
      </c>
      <c r="X57" s="14">
        <f t="shared" ref="X57:X60" si="84">C42</f>
        <v>8.5</v>
      </c>
      <c r="Y57" s="283">
        <f t="shared" si="0"/>
        <v>13</v>
      </c>
      <c r="Z57" s="14">
        <f t="shared" ref="Z57:Z60" si="85">D42</f>
        <v>7.1</v>
      </c>
      <c r="AA57" s="283">
        <f t="shared" si="0"/>
        <v>15</v>
      </c>
      <c r="AB57" s="69">
        <f>Table351550526[[#This Row],[Floor4]]+Table351550526[[#This Row],[Vault6]]</f>
        <v>15.6</v>
      </c>
      <c r="AC57" s="283">
        <f t="shared" ref="AC57" si="86">SUMPRODUCT((AB$7:AB$103&gt;AB57)/COUNTIF(AB$7:AB$103,AB$7:AB$103&amp;""))+1</f>
        <v>17.000000000000004</v>
      </c>
    </row>
    <row r="58" spans="1:29" ht="16.5" thickBot="1">
      <c r="A58" s="8"/>
      <c r="B58" s="18" t="s">
        <v>10</v>
      </c>
      <c r="C58" s="19">
        <f>SUM(C52:C57)-SMALL(C52:C57,1)-SMALL(C52:C57,2)</f>
        <v>32.950000000000003</v>
      </c>
      <c r="D58" s="19">
        <f>SUM(D52:D57)-SMALL(D52:D57,1)-SMALL(D52:D57,2)</f>
        <v>30.25</v>
      </c>
      <c r="E58" s="20">
        <f>SUM(C58:D58)</f>
        <v>63.2</v>
      </c>
      <c r="F58" s="8"/>
      <c r="G58" s="8"/>
      <c r="H58" s="18" t="s">
        <v>10</v>
      </c>
      <c r="I58" s="19">
        <f>SUM(I52:I57)-SMALL(I52:I57,1)-SMALL(I52:I57,2)</f>
        <v>20</v>
      </c>
      <c r="J58" s="19">
        <f>SUM(J52:J57)-SMALL(J52:J57,1)-SMALL(J52:J57,2)</f>
        <v>27.45</v>
      </c>
      <c r="K58" s="20">
        <f>SUM(I58:J58)</f>
        <v>47.45</v>
      </c>
      <c r="L58" s="267"/>
      <c r="M58" s="8"/>
      <c r="N58" s="18" t="s">
        <v>10</v>
      </c>
      <c r="O58" s="19">
        <f>SUM(O52:O57)-SMALL(O52:O57,1)-SMALL(O52:O57,2)</f>
        <v>20</v>
      </c>
      <c r="P58" s="19">
        <f>SUM(P52:P57)-SMALL(P52:P57,1)-SMALL(P52:P57,2)</f>
        <v>26.799999999999997</v>
      </c>
      <c r="Q58" s="20">
        <f>SUM(O58:P58)</f>
        <v>46.8</v>
      </c>
      <c r="R58" s="8"/>
      <c r="U58" s="16" t="s">
        <v>222</v>
      </c>
      <c r="V58" s="149">
        <v>226</v>
      </c>
      <c r="W58" s="93" t="s">
        <v>823</v>
      </c>
      <c r="X58" s="14">
        <f t="shared" si="84"/>
        <v>8.35</v>
      </c>
      <c r="Y58" s="283">
        <f t="shared" si="0"/>
        <v>14.999999999999996</v>
      </c>
      <c r="Z58" s="14">
        <f t="shared" si="85"/>
        <v>7</v>
      </c>
      <c r="AA58" s="283">
        <f t="shared" si="0"/>
        <v>17</v>
      </c>
      <c r="AB58" s="69">
        <f>Table351550526[[#This Row],[Floor4]]+Table351550526[[#This Row],[Vault6]]</f>
        <v>15.35</v>
      </c>
      <c r="AC58" s="283">
        <f t="shared" ref="AC58" si="87">SUMPRODUCT((AB$7:AB$103&gt;AB58)/COUNTIF(AB$7:AB$103,AB$7:AB$103&amp;""))+1</f>
        <v>22</v>
      </c>
    </row>
    <row r="59" spans="1:29">
      <c r="A59" s="8"/>
      <c r="B59" s="360" t="s">
        <v>37</v>
      </c>
      <c r="C59" s="8"/>
      <c r="D59" s="18"/>
      <c r="E59" s="22"/>
      <c r="F59" s="8"/>
      <c r="G59" s="8"/>
      <c r="H59" s="360" t="s">
        <v>37</v>
      </c>
      <c r="I59" s="8"/>
      <c r="J59" s="18"/>
      <c r="K59" s="22"/>
      <c r="L59" s="267"/>
      <c r="M59" s="8"/>
      <c r="N59" s="21" t="s">
        <v>37</v>
      </c>
      <c r="O59" s="8"/>
      <c r="P59" s="18"/>
      <c r="Q59" s="22"/>
      <c r="R59" s="8"/>
      <c r="U59" s="16" t="s">
        <v>222</v>
      </c>
      <c r="V59" s="149">
        <v>227</v>
      </c>
      <c r="W59" s="93" t="s">
        <v>824</v>
      </c>
      <c r="X59" s="14">
        <f>C44</f>
        <v>7.65</v>
      </c>
      <c r="Y59" s="283">
        <f t="shared" si="0"/>
        <v>25.999999999999989</v>
      </c>
      <c r="Z59" s="14">
        <f>D44</f>
        <v>6.9</v>
      </c>
      <c r="AA59" s="283">
        <f t="shared" si="0"/>
        <v>18</v>
      </c>
      <c r="AB59" s="69">
        <f>Table351550526[[#This Row],[Floor4]]+Table351550526[[#This Row],[Vault6]]</f>
        <v>14.55</v>
      </c>
      <c r="AC59" s="283">
        <f t="shared" ref="AC59" si="88">SUMPRODUCT((AB$7:AB$103&gt;AB59)/COUNTIF(AB$7:AB$103,AB$7:AB$103&amp;""))+1</f>
        <v>34.999999999999986</v>
      </c>
    </row>
    <row r="60" spans="1:29">
      <c r="A60" s="1"/>
      <c r="B60" s="1"/>
      <c r="C60" s="1"/>
      <c r="D60" s="1"/>
      <c r="E60" s="1"/>
      <c r="G60" s="1"/>
      <c r="H60" s="1"/>
      <c r="I60" s="1"/>
      <c r="J60" s="1"/>
      <c r="K60" s="1"/>
      <c r="L60" s="1"/>
      <c r="U60" s="16" t="s">
        <v>222</v>
      </c>
      <c r="V60" s="149">
        <v>228</v>
      </c>
      <c r="W60" s="100" t="s">
        <v>825</v>
      </c>
      <c r="X60" s="14">
        <f t="shared" si="84"/>
        <v>8.15</v>
      </c>
      <c r="Y60" s="283">
        <f t="shared" si="0"/>
        <v>18.999999999999993</v>
      </c>
      <c r="Z60" s="14">
        <f t="shared" si="85"/>
        <v>7.2</v>
      </c>
      <c r="AA60" s="283">
        <f t="shared" si="0"/>
        <v>13.000000000000002</v>
      </c>
      <c r="AB60" s="69">
        <f>Table351550526[[#This Row],[Floor4]]+Table351550526[[#This Row],[Vault6]]</f>
        <v>15.350000000000001</v>
      </c>
      <c r="AC60" s="283">
        <f t="shared" ref="AC60" si="89">SUMPRODUCT((AB$7:AB$103&gt;AB60)/COUNTIF(AB$7:AB$103,AB$7:AB$103&amp;""))+1</f>
        <v>22</v>
      </c>
    </row>
    <row r="61" spans="1:29">
      <c r="A61" s="348" t="s">
        <v>1315</v>
      </c>
      <c r="B61" s="349"/>
      <c r="C61" s="349"/>
      <c r="D61" s="349"/>
      <c r="E61" s="350"/>
      <c r="F61" s="8"/>
      <c r="G61" s="348" t="s">
        <v>1299</v>
      </c>
      <c r="H61" s="349"/>
      <c r="I61" s="349"/>
      <c r="J61" s="349"/>
      <c r="K61" s="350"/>
      <c r="M61" s="233"/>
      <c r="N61" s="39" t="s">
        <v>12</v>
      </c>
      <c r="O61" s="43" t="s">
        <v>5</v>
      </c>
      <c r="P61" s="44" t="s">
        <v>11</v>
      </c>
      <c r="Q61" s="233"/>
      <c r="U61" s="16" t="s">
        <v>99</v>
      </c>
      <c r="V61" s="149">
        <v>230</v>
      </c>
      <c r="W61" s="93" t="s">
        <v>859</v>
      </c>
      <c r="X61" s="14">
        <f>I41</f>
        <v>8.5</v>
      </c>
      <c r="Y61" s="283">
        <f t="shared" si="0"/>
        <v>13</v>
      </c>
      <c r="Z61" s="14">
        <f>J41</f>
        <v>6.8</v>
      </c>
      <c r="AA61" s="283">
        <f t="shared" si="0"/>
        <v>18.999999999999996</v>
      </c>
      <c r="AB61" s="69">
        <f>Table351550526[[#This Row],[Floor4]]+Table351550526[[#This Row],[Vault6]]</f>
        <v>15.3</v>
      </c>
      <c r="AC61" s="283">
        <f t="shared" ref="AC61" si="90">SUMPRODUCT((AB$7:AB$103&gt;AB61)/COUNTIF(AB$7:AB$103,AB$7:AB$103&amp;""))+1</f>
        <v>23</v>
      </c>
    </row>
    <row r="62" spans="1:29">
      <c r="A62" s="354" t="s">
        <v>1</v>
      </c>
      <c r="B62" s="354" t="s">
        <v>2</v>
      </c>
      <c r="C62" s="354" t="s">
        <v>3</v>
      </c>
      <c r="D62" s="354" t="s">
        <v>4</v>
      </c>
      <c r="E62" s="354" t="s">
        <v>5</v>
      </c>
      <c r="F62" s="8"/>
      <c r="G62" s="354" t="s">
        <v>1</v>
      </c>
      <c r="H62" s="354" t="s">
        <v>2</v>
      </c>
      <c r="I62" s="354" t="s">
        <v>3</v>
      </c>
      <c r="J62" s="354" t="s">
        <v>4</v>
      </c>
      <c r="K62" s="354" t="s">
        <v>5</v>
      </c>
      <c r="L62" s="1"/>
      <c r="M62" s="111"/>
      <c r="N62" s="266" t="s">
        <v>1263</v>
      </c>
      <c r="O62" s="73">
        <f>E14</f>
        <v>64.650000000000006</v>
      </c>
      <c r="P62" s="40">
        <f>SUMPRODUCT((O$62:O$76&gt;O62)/COUNTIF(O$62:O$76,O$62:O$76&amp;""))+1</f>
        <v>3</v>
      </c>
      <c r="Q62" s="111"/>
      <c r="U62" s="16" t="s">
        <v>99</v>
      </c>
      <c r="V62" s="149">
        <v>231</v>
      </c>
      <c r="W62" s="93" t="s">
        <v>860</v>
      </c>
      <c r="X62" s="14">
        <f t="shared" ref="X62:X65" si="91">I42</f>
        <v>8.35</v>
      </c>
      <c r="Y62" s="283">
        <f t="shared" si="0"/>
        <v>14.999999999999996</v>
      </c>
      <c r="Z62" s="14">
        <f t="shared" ref="Z62:Z65" si="92">J42</f>
        <v>7.35</v>
      </c>
      <c r="AA62" s="283">
        <f t="shared" si="0"/>
        <v>10</v>
      </c>
      <c r="AB62" s="69">
        <f>Table351550526[[#This Row],[Floor4]]+Table351550526[[#This Row],[Vault6]]</f>
        <v>15.7</v>
      </c>
      <c r="AC62" s="283">
        <f t="shared" ref="AC62" si="93">SUMPRODUCT((AB$7:AB$103&gt;AB62)/COUNTIF(AB$7:AB$103,AB$7:AB$103&amp;""))+1</f>
        <v>15.999999999999998</v>
      </c>
    </row>
    <row r="63" spans="1:29">
      <c r="A63" s="364">
        <v>260</v>
      </c>
      <c r="B63" s="281" t="s">
        <v>633</v>
      </c>
      <c r="C63" s="14">
        <v>8.65</v>
      </c>
      <c r="D63" s="14">
        <v>7.6</v>
      </c>
      <c r="E63" s="14">
        <f>SUM(C63,D63)</f>
        <v>16.25</v>
      </c>
      <c r="F63" s="8"/>
      <c r="G63" s="150">
        <v>261</v>
      </c>
      <c r="H63" s="108" t="s">
        <v>686</v>
      </c>
      <c r="I63" s="14">
        <v>7.5</v>
      </c>
      <c r="J63" s="14">
        <v>7.5</v>
      </c>
      <c r="K63" s="14">
        <f t="shared" ref="K63" si="94">SUM(I63,J63)</f>
        <v>15</v>
      </c>
      <c r="L63" s="1"/>
      <c r="M63" s="243"/>
      <c r="N63" s="54" t="s">
        <v>547</v>
      </c>
      <c r="O63" s="62">
        <f>K14</f>
        <v>59.35</v>
      </c>
      <c r="P63" s="40">
        <f t="shared" ref="P63:P76" si="95">SUMPRODUCT((O$62:O$76&gt;O63)/COUNTIF(O$62:O$76,O$62:O$76&amp;""))+1</f>
        <v>12</v>
      </c>
      <c r="Q63" s="73"/>
      <c r="U63" s="406" t="s">
        <v>99</v>
      </c>
      <c r="V63" s="396">
        <v>232</v>
      </c>
      <c r="W63" s="436" t="s">
        <v>861</v>
      </c>
      <c r="X63" s="401">
        <f t="shared" si="91"/>
        <v>0</v>
      </c>
      <c r="Y63" s="402">
        <f t="shared" si="0"/>
        <v>33.000000000000014</v>
      </c>
      <c r="Z63" s="401">
        <f>J43</f>
        <v>0</v>
      </c>
      <c r="AA63" s="402">
        <f t="shared" si="0"/>
        <v>29.999999999999979</v>
      </c>
      <c r="AB63" s="403">
        <f>Table351550526[[#This Row],[Floor4]]+Table351550526[[#This Row],[Vault6]]</f>
        <v>0</v>
      </c>
      <c r="AC63" s="402">
        <f t="shared" ref="AC63" si="96">SUMPRODUCT((AB$7:AB$103&gt;AB63)/COUNTIF(AB$7:AB$103,AB$7:AB$103&amp;""))+1</f>
        <v>49.999999999999993</v>
      </c>
    </row>
    <row r="64" spans="1:29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M64" s="153"/>
      <c r="N64" s="266" t="s">
        <v>537</v>
      </c>
      <c r="O64" s="73">
        <f>Q14</f>
        <v>65.2</v>
      </c>
      <c r="P64" s="40">
        <f t="shared" si="95"/>
        <v>1</v>
      </c>
      <c r="Q64" s="73"/>
      <c r="U64" s="406" t="s">
        <v>99</v>
      </c>
      <c r="V64" s="396">
        <v>233</v>
      </c>
      <c r="W64" s="436" t="s">
        <v>862</v>
      </c>
      <c r="X64" s="401">
        <f>I44</f>
        <v>0</v>
      </c>
      <c r="Y64" s="402">
        <f t="shared" si="0"/>
        <v>33.000000000000014</v>
      </c>
      <c r="Z64" s="401">
        <f t="shared" si="92"/>
        <v>0</v>
      </c>
      <c r="AA64" s="402">
        <f t="shared" si="0"/>
        <v>29.999999999999979</v>
      </c>
      <c r="AB64" s="403">
        <f>Table351550526[[#This Row],[Floor4]]+Table351550526[[#This Row],[Vault6]]</f>
        <v>0</v>
      </c>
      <c r="AC64" s="402">
        <f t="shared" ref="AC64" si="97">SUMPRODUCT((AB$7:AB$103&gt;AB64)/COUNTIF(AB$7:AB$103,AB$7:AB$103&amp;""))+1</f>
        <v>49.999999999999993</v>
      </c>
    </row>
    <row r="65" spans="1:29">
      <c r="A65" s="348" t="s">
        <v>1316</v>
      </c>
      <c r="B65" s="349"/>
      <c r="C65" s="349"/>
      <c r="D65" s="349"/>
      <c r="E65" s="350"/>
      <c r="F65" s="8"/>
      <c r="G65" s="8"/>
      <c r="H65" s="8"/>
      <c r="I65" s="8"/>
      <c r="J65" s="8"/>
      <c r="K65" s="8"/>
      <c r="M65" s="153"/>
      <c r="N65" s="54" t="s">
        <v>21</v>
      </c>
      <c r="O65" s="47">
        <f>E25</f>
        <v>65.050000000000011</v>
      </c>
      <c r="P65" s="40">
        <f t="shared" si="95"/>
        <v>2</v>
      </c>
      <c r="Q65" s="73"/>
      <c r="U65" s="16" t="s">
        <v>99</v>
      </c>
      <c r="V65" s="149">
        <v>234</v>
      </c>
      <c r="W65" s="100" t="s">
        <v>863</v>
      </c>
      <c r="X65" s="14">
        <f t="shared" si="91"/>
        <v>8.7799999999999994</v>
      </c>
      <c r="Y65" s="283">
        <f t="shared" si="0"/>
        <v>7.9999999999999991</v>
      </c>
      <c r="Z65" s="14">
        <f t="shared" si="92"/>
        <v>7.5</v>
      </c>
      <c r="AA65" s="283">
        <f t="shared" si="0"/>
        <v>7.0000000000000009</v>
      </c>
      <c r="AB65" s="69">
        <f>Table351550526[[#This Row],[Floor4]]+Table351550526[[#This Row],[Vault6]]</f>
        <v>16.28</v>
      </c>
      <c r="AC65" s="283">
        <f t="shared" ref="AC65" si="98">SUMPRODUCT((AB$7:AB$103&gt;AB65)/COUNTIF(AB$7:AB$103,AB$7:AB$103&amp;""))+1</f>
        <v>6</v>
      </c>
    </row>
    <row r="66" spans="1:29">
      <c r="A66" s="354" t="s">
        <v>1</v>
      </c>
      <c r="B66" s="354" t="s">
        <v>2</v>
      </c>
      <c r="C66" s="354" t="s">
        <v>3</v>
      </c>
      <c r="D66" s="354" t="s">
        <v>4</v>
      </c>
      <c r="E66" s="354" t="s">
        <v>5</v>
      </c>
      <c r="F66" s="8"/>
      <c r="G66" s="8"/>
      <c r="H66" s="8"/>
      <c r="I66" s="8"/>
      <c r="J66" s="8"/>
      <c r="K66" s="8"/>
      <c r="N66" s="266" t="s">
        <v>552</v>
      </c>
      <c r="O66" s="73">
        <f>K25</f>
        <v>64.05</v>
      </c>
      <c r="P66" s="40">
        <f t="shared" si="95"/>
        <v>4</v>
      </c>
      <c r="Q66" s="73"/>
      <c r="U66" s="16" t="s">
        <v>99</v>
      </c>
      <c r="V66" s="149">
        <v>235</v>
      </c>
      <c r="W66" s="100" t="s">
        <v>864</v>
      </c>
      <c r="X66" s="14">
        <f>I46</f>
        <v>8.5</v>
      </c>
      <c r="Y66" s="283">
        <f t="shared" si="0"/>
        <v>13</v>
      </c>
      <c r="Z66" s="14">
        <f>J46</f>
        <v>6.9</v>
      </c>
      <c r="AA66" s="283">
        <f t="shared" si="0"/>
        <v>18</v>
      </c>
      <c r="AB66" s="69">
        <f>Table351550526[[#This Row],[Floor4]]+Table351550526[[#This Row],[Vault6]]</f>
        <v>15.4</v>
      </c>
      <c r="AC66" s="283">
        <f t="shared" ref="AC66" si="99">SUMPRODUCT((AB$7:AB$103&gt;AB66)/COUNTIF(AB$7:AB$103,AB$7:AB$103&amp;""))+1</f>
        <v>21</v>
      </c>
    </row>
    <row r="67" spans="1:29">
      <c r="A67" s="150">
        <v>262</v>
      </c>
      <c r="B67" s="108" t="s">
        <v>890</v>
      </c>
      <c r="C67" s="14">
        <v>8.4499999999999993</v>
      </c>
      <c r="D67" s="14">
        <v>6.9</v>
      </c>
      <c r="E67" s="14">
        <f>SUM(C67,D67)</f>
        <v>15.35</v>
      </c>
      <c r="F67" s="8"/>
      <c r="G67" s="8"/>
      <c r="H67" s="8"/>
      <c r="I67" s="8"/>
      <c r="J67" s="8"/>
      <c r="K67" s="8"/>
      <c r="N67" s="54" t="s">
        <v>553</v>
      </c>
      <c r="O67" s="73">
        <f>Q25</f>
        <v>62.899999999999991</v>
      </c>
      <c r="P67" s="40">
        <f t="shared" si="95"/>
        <v>6</v>
      </c>
      <c r="Q67" s="73"/>
      <c r="U67" s="16" t="s">
        <v>889</v>
      </c>
      <c r="V67" s="149">
        <v>262</v>
      </c>
      <c r="W67" s="100" t="s">
        <v>890</v>
      </c>
      <c r="X67" s="14">
        <f>C67</f>
        <v>8.4499999999999993</v>
      </c>
      <c r="Y67" s="283">
        <f t="shared" si="0"/>
        <v>13.999999999999996</v>
      </c>
      <c r="Z67" s="14">
        <f>D67</f>
        <v>6.9</v>
      </c>
      <c r="AA67" s="283">
        <f t="shared" si="0"/>
        <v>18</v>
      </c>
      <c r="AB67" s="69">
        <f>Table351550526[[#This Row],[Floor4]]+Table351550526[[#This Row],[Vault6]]</f>
        <v>15.35</v>
      </c>
      <c r="AC67" s="283">
        <f t="shared" ref="AC67" si="100">SUMPRODUCT((AB$7:AB$103&gt;AB67)/COUNTIF(AB$7:AB$103,AB$7:AB$103&amp;""))+1</f>
        <v>22</v>
      </c>
    </row>
    <row r="68" spans="1:29">
      <c r="A68" s="351"/>
      <c r="B68" s="8"/>
      <c r="C68" s="8"/>
      <c r="D68" s="8"/>
      <c r="E68" s="8"/>
      <c r="F68" s="8"/>
      <c r="G68" s="8"/>
      <c r="H68" s="8"/>
      <c r="I68" s="8"/>
      <c r="J68" s="8"/>
      <c r="K68" s="8"/>
      <c r="N68" s="266" t="s">
        <v>554</v>
      </c>
      <c r="O68" s="73">
        <f>E36</f>
        <v>62.7</v>
      </c>
      <c r="P68" s="40">
        <f t="shared" si="95"/>
        <v>8</v>
      </c>
      <c r="Q68" s="73"/>
      <c r="U68" s="16" t="s">
        <v>917</v>
      </c>
      <c r="V68" s="149">
        <v>236</v>
      </c>
      <c r="W68" s="93" t="s">
        <v>913</v>
      </c>
      <c r="X68" s="14">
        <f>O41</f>
        <v>6.8</v>
      </c>
      <c r="Y68" s="283">
        <f t="shared" si="0"/>
        <v>30.999999999999996</v>
      </c>
      <c r="Z68" s="14">
        <f>P41</f>
        <v>7.6</v>
      </c>
      <c r="AA68" s="283">
        <f t="shared" si="0"/>
        <v>5</v>
      </c>
      <c r="AB68" s="69">
        <f>Table351550526[[#This Row],[Floor4]]+Table351550526[[#This Row],[Vault6]]</f>
        <v>14.399999999999999</v>
      </c>
      <c r="AC68" s="283">
        <f t="shared" ref="AC68" si="101">SUMPRODUCT((AB$7:AB$103&gt;AB68)/COUNTIF(AB$7:AB$103,AB$7:AB$103&amp;""))+1</f>
        <v>35.999999999999986</v>
      </c>
    </row>
    <row r="69" spans="1:29">
      <c r="A69" s="267"/>
      <c r="B69" s="8"/>
      <c r="C69" s="8"/>
      <c r="D69" s="8"/>
      <c r="E69" s="8"/>
      <c r="F69" s="8"/>
      <c r="G69" s="8"/>
      <c r="H69" s="8"/>
      <c r="I69" s="8"/>
      <c r="J69" s="8"/>
      <c r="K69" s="8"/>
      <c r="N69" s="266" t="s">
        <v>1264</v>
      </c>
      <c r="O69" s="73">
        <f>K36</f>
        <v>62.78</v>
      </c>
      <c r="P69" s="40">
        <f t="shared" si="95"/>
        <v>7</v>
      </c>
      <c r="Q69" s="105"/>
      <c r="U69" s="16" t="s">
        <v>917</v>
      </c>
      <c r="V69" s="149">
        <v>237</v>
      </c>
      <c r="W69" s="93" t="s">
        <v>914</v>
      </c>
      <c r="X69" s="14">
        <f t="shared" ref="X69:X71" si="102">O42</f>
        <v>8.35</v>
      </c>
      <c r="Y69" s="283">
        <f t="shared" si="0"/>
        <v>14.999999999999996</v>
      </c>
      <c r="Z69" s="14">
        <f t="shared" ref="Z69:Z71" si="103">P42</f>
        <v>7.4</v>
      </c>
      <c r="AA69" s="283">
        <f t="shared" si="0"/>
        <v>9.0000000000000018</v>
      </c>
      <c r="AB69" s="69">
        <f>Table351550526[[#This Row],[Floor4]]+Table351550526[[#This Row],[Vault6]]</f>
        <v>15.75</v>
      </c>
      <c r="AC69" s="283">
        <f t="shared" ref="AC69" si="104">SUMPRODUCT((AB$7:AB$103&gt;AB69)/COUNTIF(AB$7:AB$103,AB$7:AB$103&amp;""))+1</f>
        <v>15</v>
      </c>
    </row>
    <row r="70" spans="1:29">
      <c r="A70" s="267"/>
      <c r="B70" s="8"/>
      <c r="C70" s="8"/>
      <c r="D70" s="8"/>
      <c r="E70" s="8"/>
      <c r="F70" s="8"/>
      <c r="G70" s="8"/>
      <c r="H70" s="8"/>
      <c r="I70" s="8"/>
      <c r="J70" s="8"/>
      <c r="K70" s="8"/>
      <c r="N70" s="266" t="s">
        <v>543</v>
      </c>
      <c r="O70" s="62">
        <f>Q36</f>
        <v>58.85</v>
      </c>
      <c r="P70" s="40">
        <f t="shared" si="95"/>
        <v>13</v>
      </c>
      <c r="Q70" s="115"/>
      <c r="U70" s="16" t="s">
        <v>917</v>
      </c>
      <c r="V70" s="149">
        <v>238</v>
      </c>
      <c r="W70" s="93" t="s">
        <v>915</v>
      </c>
      <c r="X70" s="14">
        <f>O43</f>
        <v>8.1</v>
      </c>
      <c r="Y70" s="283">
        <f t="shared" si="0"/>
        <v>19.999999999999996</v>
      </c>
      <c r="Z70" s="14">
        <f>P43</f>
        <v>7.5</v>
      </c>
      <c r="AA70" s="283">
        <f t="shared" si="0"/>
        <v>7.0000000000000009</v>
      </c>
      <c r="AB70" s="69">
        <f>Table351550526[[#This Row],[Floor4]]+Table351550526[[#This Row],[Vault6]]</f>
        <v>15.6</v>
      </c>
      <c r="AC70" s="283">
        <f t="shared" ref="AC70" si="105">SUMPRODUCT((AB$7:AB$103&gt;AB70)/COUNTIF(AB$7:AB$103,AB$7:AB$103&amp;""))+1</f>
        <v>17.000000000000004</v>
      </c>
    </row>
    <row r="71" spans="1:29">
      <c r="N71" s="266" t="s">
        <v>157</v>
      </c>
      <c r="O71" s="73">
        <f>E47</f>
        <v>61.1</v>
      </c>
      <c r="P71" s="40">
        <f t="shared" si="95"/>
        <v>11</v>
      </c>
      <c r="U71" s="16" t="s">
        <v>917</v>
      </c>
      <c r="V71" s="149">
        <v>239</v>
      </c>
      <c r="W71" s="93" t="s">
        <v>916</v>
      </c>
      <c r="X71" s="14">
        <f t="shared" si="102"/>
        <v>8.6999999999999993</v>
      </c>
      <c r="Y71" s="283">
        <f t="shared" ref="Y71:AA103" si="106">SUMPRODUCT((X$7:X$103&gt;X71)/COUNTIF(X$7:X$103,X$7:X$103&amp;""))+1</f>
        <v>10</v>
      </c>
      <c r="Z71" s="14">
        <f t="shared" si="103"/>
        <v>7.45</v>
      </c>
      <c r="AA71" s="283">
        <f t="shared" si="106"/>
        <v>8</v>
      </c>
      <c r="AB71" s="69">
        <f>Table351550526[[#This Row],[Floor4]]+Table351550526[[#This Row],[Vault6]]</f>
        <v>16.149999999999999</v>
      </c>
      <c r="AC71" s="283">
        <f t="shared" ref="AC71" si="107">SUMPRODUCT((AB$7:AB$103&gt;AB71)/COUNTIF(AB$7:AB$103,AB$7:AB$103&amp;""))+1</f>
        <v>9</v>
      </c>
    </row>
    <row r="72" spans="1:29">
      <c r="N72" s="266" t="s">
        <v>369</v>
      </c>
      <c r="O72" s="73">
        <f>K47</f>
        <v>62.68</v>
      </c>
      <c r="P72" s="40">
        <f t="shared" si="95"/>
        <v>9</v>
      </c>
      <c r="Q72" s="233"/>
      <c r="U72" s="16" t="s">
        <v>391</v>
      </c>
      <c r="V72" s="151">
        <v>242</v>
      </c>
      <c r="W72" s="93" t="s">
        <v>396</v>
      </c>
      <c r="X72" s="14">
        <f>C52</f>
        <v>7.9</v>
      </c>
      <c r="Y72" s="283">
        <f t="shared" si="106"/>
        <v>22.999999999999989</v>
      </c>
      <c r="Z72" s="14">
        <f>D52</f>
        <v>7.45</v>
      </c>
      <c r="AA72" s="283">
        <f t="shared" si="106"/>
        <v>8</v>
      </c>
      <c r="AB72" s="69">
        <f>Table351550526[[#This Row],[Floor4]]+Table351550526[[#This Row],[Vault6]]</f>
        <v>15.350000000000001</v>
      </c>
      <c r="AC72" s="283">
        <f t="shared" ref="AC72" si="108">SUMPRODUCT((AB$7:AB$103&gt;AB72)/COUNTIF(AB$7:AB$103,AB$7:AB$103&amp;""))+1</f>
        <v>22</v>
      </c>
    </row>
    <row r="73" spans="1:29" s="1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 s="54" t="s">
        <v>1265</v>
      </c>
      <c r="O73" s="62">
        <f>Q47</f>
        <v>61.9</v>
      </c>
      <c r="P73" s="40">
        <f t="shared" si="95"/>
        <v>10</v>
      </c>
      <c r="Q73" s="111"/>
      <c r="U73" s="16" t="s">
        <v>391</v>
      </c>
      <c r="V73" s="151">
        <v>243</v>
      </c>
      <c r="W73" s="93" t="s">
        <v>145</v>
      </c>
      <c r="X73" s="14">
        <f t="shared" ref="X73:X75" si="109">C53</f>
        <v>8.5500000000000007</v>
      </c>
      <c r="Y73" s="283">
        <f t="shared" si="106"/>
        <v>12</v>
      </c>
      <c r="Z73" s="14">
        <f t="shared" ref="Z73:Z75" si="110">D53</f>
        <v>8</v>
      </c>
      <c r="AA73" s="283">
        <f t="shared" si="106"/>
        <v>1</v>
      </c>
      <c r="AB73" s="69">
        <f>Table351550526[[#This Row],[Floor4]]+Table351550526[[#This Row],[Vault6]]</f>
        <v>16.55</v>
      </c>
      <c r="AC73" s="283">
        <f t="shared" ref="AC73" si="111">SUMPRODUCT((AB$7:AB$103&gt;AB73)/COUNTIF(AB$7:AB$103,AB$7:AB$103&amp;""))+1</f>
        <v>2</v>
      </c>
    </row>
    <row r="74" spans="1:29" s="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266" t="s">
        <v>397</v>
      </c>
      <c r="O74" s="73">
        <f>E58</f>
        <v>63.2</v>
      </c>
      <c r="P74" s="40">
        <f t="shared" si="95"/>
        <v>5</v>
      </c>
      <c r="Q74" s="68"/>
      <c r="U74" s="16" t="s">
        <v>391</v>
      </c>
      <c r="V74" s="151">
        <v>244</v>
      </c>
      <c r="W74" s="93" t="s">
        <v>1010</v>
      </c>
      <c r="X74" s="14">
        <f>C54</f>
        <v>8.5</v>
      </c>
      <c r="Y74" s="283">
        <f t="shared" si="106"/>
        <v>13</v>
      </c>
      <c r="Z74" s="14">
        <f>D54</f>
        <v>7.35</v>
      </c>
      <c r="AA74" s="283">
        <f t="shared" si="106"/>
        <v>10</v>
      </c>
      <c r="AB74" s="69">
        <f>Table351550526[[#This Row],[Floor4]]+Table351550526[[#This Row],[Vault6]]</f>
        <v>15.85</v>
      </c>
      <c r="AC74" s="283">
        <f t="shared" ref="AC74" si="112">SUMPRODUCT((AB$7:AB$103&gt;AB74)/COUNTIF(AB$7:AB$103,AB$7:AB$103&amp;""))+1</f>
        <v>13</v>
      </c>
    </row>
    <row r="75" spans="1:29">
      <c r="J75" s="8"/>
      <c r="N75" s="266" t="s">
        <v>1266</v>
      </c>
      <c r="O75" s="64">
        <f>K58</f>
        <v>47.45</v>
      </c>
      <c r="P75" s="40">
        <f t="shared" si="95"/>
        <v>14</v>
      </c>
      <c r="Q75" s="68"/>
      <c r="U75" s="16" t="s">
        <v>391</v>
      </c>
      <c r="V75" s="151">
        <v>245</v>
      </c>
      <c r="W75" s="93" t="s">
        <v>1011</v>
      </c>
      <c r="X75" s="14">
        <f t="shared" si="109"/>
        <v>7.75</v>
      </c>
      <c r="Y75" s="283">
        <f t="shared" si="106"/>
        <v>24.999999999999989</v>
      </c>
      <c r="Z75" s="14">
        <f t="shared" si="110"/>
        <v>7.35</v>
      </c>
      <c r="AA75" s="283">
        <f t="shared" si="106"/>
        <v>10</v>
      </c>
      <c r="AB75" s="69">
        <f>Table351550526[[#This Row],[Floor4]]+Table351550526[[#This Row],[Vault6]]</f>
        <v>15.1</v>
      </c>
      <c r="AC75" s="283">
        <f t="shared" ref="AC75" si="113">SUMPRODUCT((AB$7:AB$103&gt;AB75)/COUNTIF(AB$7:AB$103,AB$7:AB$103&amp;""))+1</f>
        <v>25.999999999999993</v>
      </c>
    </row>
    <row r="76" spans="1:29">
      <c r="A76" s="1"/>
      <c r="B76" s="104"/>
      <c r="C76" s="64"/>
      <c r="D76" s="64"/>
      <c r="E76" s="105"/>
      <c r="G76" s="1"/>
      <c r="H76" s="104"/>
      <c r="I76" s="64"/>
      <c r="J76" s="64"/>
      <c r="K76" s="105"/>
      <c r="N76" s="266" t="s">
        <v>1267</v>
      </c>
      <c r="O76" s="73">
        <f>Q58</f>
        <v>46.8</v>
      </c>
      <c r="P76" s="40">
        <f t="shared" si="95"/>
        <v>15</v>
      </c>
      <c r="Q76" s="68"/>
      <c r="U76" s="16" t="s">
        <v>454</v>
      </c>
      <c r="V76" s="151">
        <v>248</v>
      </c>
      <c r="W76" s="93" t="s">
        <v>1347</v>
      </c>
      <c r="X76" s="14">
        <f>I52</f>
        <v>5</v>
      </c>
      <c r="Y76" s="283">
        <f t="shared" si="106"/>
        <v>31.999999999999996</v>
      </c>
      <c r="Z76" s="14">
        <f>J52</f>
        <v>6.9</v>
      </c>
      <c r="AA76" s="283">
        <f t="shared" si="106"/>
        <v>18</v>
      </c>
      <c r="AB76" s="69">
        <f>Table351550526[[#This Row],[Floor4]]+Table351550526[[#This Row],[Vault6]]</f>
        <v>11.9</v>
      </c>
      <c r="AC76" s="283">
        <f t="shared" ref="AC76" si="114">SUMPRODUCT((AB$7:AB$103&gt;AB76)/COUNTIF(AB$7:AB$103,AB$7:AB$103&amp;""))+1</f>
        <v>43.999999999999993</v>
      </c>
    </row>
    <row r="77" spans="1:29">
      <c r="U77" s="16" t="s">
        <v>454</v>
      </c>
      <c r="V77" s="151">
        <v>249</v>
      </c>
      <c r="W77" s="93" t="s">
        <v>1074</v>
      </c>
      <c r="X77" s="14">
        <f t="shared" ref="X77:X80" si="115">I53</f>
        <v>5</v>
      </c>
      <c r="Y77" s="283">
        <f t="shared" si="106"/>
        <v>31.999999999999996</v>
      </c>
      <c r="Z77" s="14">
        <f t="shared" ref="Z77:Z81" si="116">J53</f>
        <v>6.3</v>
      </c>
      <c r="AA77" s="283">
        <f t="shared" si="106"/>
        <v>27.999999999999986</v>
      </c>
      <c r="AB77" s="69">
        <f>Table351550526[[#This Row],[Floor4]]+Table351550526[[#This Row],[Vault6]]</f>
        <v>11.3</v>
      </c>
      <c r="AC77" s="283">
        <f t="shared" ref="AC77" si="117">SUMPRODUCT((AB$7:AB$103&gt;AB77)/COUNTIF(AB$7:AB$103,AB$7:AB$103&amp;""))+1</f>
        <v>47.999999999999993</v>
      </c>
    </row>
    <row r="78" spans="1:29">
      <c r="U78" s="16" t="s">
        <v>454</v>
      </c>
      <c r="V78" s="151">
        <v>250</v>
      </c>
      <c r="W78" s="93" t="s">
        <v>1075</v>
      </c>
      <c r="X78" s="14">
        <f t="shared" si="115"/>
        <v>5</v>
      </c>
      <c r="Y78" s="283">
        <f t="shared" si="106"/>
        <v>31.999999999999996</v>
      </c>
      <c r="Z78" s="14">
        <f t="shared" si="116"/>
        <v>0</v>
      </c>
      <c r="AA78" s="283">
        <f t="shared" si="106"/>
        <v>29.999999999999979</v>
      </c>
      <c r="AB78" s="69">
        <f>Table351550526[[#This Row],[Floor4]]+Table351550526[[#This Row],[Vault6]]</f>
        <v>5</v>
      </c>
      <c r="AC78" s="283">
        <f t="shared" ref="AC78" si="118">SUMPRODUCT((AB$7:AB$103&gt;AB78)/COUNTIF(AB$7:AB$103,AB$7:AB$103&amp;""))+1</f>
        <v>48.999999999999993</v>
      </c>
    </row>
    <row r="79" spans="1:29">
      <c r="U79" s="16" t="s">
        <v>454</v>
      </c>
      <c r="V79" s="151">
        <v>251</v>
      </c>
      <c r="W79" s="93" t="s">
        <v>1076</v>
      </c>
      <c r="X79" s="14">
        <f t="shared" si="115"/>
        <v>5</v>
      </c>
      <c r="Y79" s="283">
        <f t="shared" si="106"/>
        <v>31.999999999999996</v>
      </c>
      <c r="Z79" s="14">
        <f>J55</f>
        <v>7.05</v>
      </c>
      <c r="AA79" s="283">
        <f t="shared" si="106"/>
        <v>16</v>
      </c>
      <c r="AB79" s="69">
        <f>Table351550526[[#This Row],[Floor4]]+Table351550526[[#This Row],[Vault6]]</f>
        <v>12.05</v>
      </c>
      <c r="AC79" s="283">
        <f t="shared" ref="AC79" si="119">SUMPRODUCT((AB$7:AB$103&gt;AB79)/COUNTIF(AB$7:AB$103,AB$7:AB$103&amp;""))+1</f>
        <v>42.999999999999993</v>
      </c>
    </row>
    <row r="80" spans="1:29">
      <c r="U80" s="16" t="s">
        <v>454</v>
      </c>
      <c r="V80" s="151">
        <v>252</v>
      </c>
      <c r="W80" s="100" t="s">
        <v>1077</v>
      </c>
      <c r="X80" s="14">
        <f t="shared" si="115"/>
        <v>5</v>
      </c>
      <c r="Y80" s="283">
        <f t="shared" si="106"/>
        <v>31.999999999999996</v>
      </c>
      <c r="Z80" s="14">
        <f t="shared" si="116"/>
        <v>6.35</v>
      </c>
      <c r="AA80" s="283">
        <f t="shared" si="106"/>
        <v>26.999999999999986</v>
      </c>
      <c r="AB80" s="69">
        <f>Table351550526[[#This Row],[Floor4]]+Table351550526[[#This Row],[Vault6]]</f>
        <v>11.35</v>
      </c>
      <c r="AC80" s="283">
        <f t="shared" ref="AC80" si="120">SUMPRODUCT((AB$7:AB$103&gt;AB80)/COUNTIF(AB$7:AB$103,AB$7:AB$103&amp;""))+1</f>
        <v>46.999999999999993</v>
      </c>
    </row>
    <row r="81" spans="1:29">
      <c r="U81" s="16" t="s">
        <v>454</v>
      </c>
      <c r="V81" s="151">
        <v>253</v>
      </c>
      <c r="W81" s="100" t="s">
        <v>1078</v>
      </c>
      <c r="X81" s="14">
        <f>I57</f>
        <v>5</v>
      </c>
      <c r="Y81" s="283">
        <f t="shared" si="106"/>
        <v>31.999999999999996</v>
      </c>
      <c r="Z81" s="14">
        <f t="shared" si="116"/>
        <v>7.15</v>
      </c>
      <c r="AA81" s="283">
        <f t="shared" si="106"/>
        <v>14.000000000000002</v>
      </c>
      <c r="AB81" s="69">
        <f>Table351550526[[#This Row],[Floor4]]+Table351550526[[#This Row],[Vault6]]</f>
        <v>12.15</v>
      </c>
      <c r="AC81" s="283">
        <f t="shared" ref="AC81" si="121">SUMPRODUCT((AB$7:AB$103&gt;AB81)/COUNTIF(AB$7:AB$103,AB$7:AB$103&amp;""))+1</f>
        <v>41.999999999999993</v>
      </c>
    </row>
    <row r="82" spans="1:29">
      <c r="U82" s="16" t="s">
        <v>454</v>
      </c>
      <c r="V82" s="151">
        <v>254</v>
      </c>
      <c r="W82" s="108" t="s">
        <v>1079</v>
      </c>
      <c r="X82" s="14">
        <f>O52</f>
        <v>5</v>
      </c>
      <c r="Y82" s="283">
        <f t="shared" si="106"/>
        <v>31.999999999999996</v>
      </c>
      <c r="Z82" s="14">
        <f>P52</f>
        <v>7.2</v>
      </c>
      <c r="AA82" s="283">
        <f t="shared" si="106"/>
        <v>13.000000000000002</v>
      </c>
      <c r="AB82" s="69">
        <f>Table351550526[[#This Row],[Floor4]]+Table351550526[[#This Row],[Vault6]]</f>
        <v>12.2</v>
      </c>
      <c r="AC82" s="283">
        <f t="shared" ref="AC82" si="122">SUMPRODUCT((AB$7:AB$103&gt;AB82)/COUNTIF(AB$7:AB$103,AB$7:AB$103&amp;""))+1</f>
        <v>40.999999999999993</v>
      </c>
    </row>
    <row r="83" spans="1:29">
      <c r="U83" s="16" t="s">
        <v>454</v>
      </c>
      <c r="V83" s="151">
        <v>255</v>
      </c>
      <c r="W83" s="99" t="s">
        <v>1099</v>
      </c>
      <c r="X83" s="14">
        <f t="shared" ref="X83:X87" si="123">O53</f>
        <v>5</v>
      </c>
      <c r="Y83" s="283">
        <f t="shared" si="106"/>
        <v>31.999999999999996</v>
      </c>
      <c r="Z83" s="14">
        <f t="shared" ref="Z83:Z87" si="124">P53</f>
        <v>6.8</v>
      </c>
      <c r="AA83" s="283">
        <f t="shared" si="106"/>
        <v>18.999999999999996</v>
      </c>
      <c r="AB83" s="69">
        <f>Table351550526[[#This Row],[Floor4]]+Table351550526[[#This Row],[Vault6]]</f>
        <v>11.8</v>
      </c>
      <c r="AC83" s="283">
        <f t="shared" ref="AC83" si="125">SUMPRODUCT((AB$7:AB$103&gt;AB83)/COUNTIF(AB$7:AB$103,AB$7:AB$103&amp;""))+1</f>
        <v>44.999999999999993</v>
      </c>
    </row>
    <row r="84" spans="1:29">
      <c r="A84" s="102"/>
      <c r="B84" s="110"/>
      <c r="C84" s="73"/>
      <c r="D84" s="73"/>
      <c r="E84" s="73"/>
      <c r="U84" s="406" t="s">
        <v>454</v>
      </c>
      <c r="V84" s="396">
        <v>256</v>
      </c>
      <c r="W84" s="439" t="s">
        <v>1081</v>
      </c>
      <c r="X84" s="401">
        <f t="shared" si="123"/>
        <v>0</v>
      </c>
      <c r="Y84" s="402">
        <f t="shared" si="106"/>
        <v>33.000000000000014</v>
      </c>
      <c r="Z84" s="401">
        <f t="shared" si="124"/>
        <v>0</v>
      </c>
      <c r="AA84" s="402">
        <f t="shared" si="106"/>
        <v>29.999999999999979</v>
      </c>
      <c r="AB84" s="403">
        <f>Table351550526[[#This Row],[Floor4]]+Table351550526[[#This Row],[Vault6]]</f>
        <v>0</v>
      </c>
      <c r="AC84" s="402">
        <f t="shared" ref="AC84" si="126">SUMPRODUCT((AB$7:AB$103&gt;AB84)/COUNTIF(AB$7:AB$103,AB$7:AB$103&amp;""))+1</f>
        <v>49.999999999999993</v>
      </c>
    </row>
    <row r="85" spans="1:29">
      <c r="U85" s="16" t="s">
        <v>454</v>
      </c>
      <c r="V85" s="151">
        <v>257</v>
      </c>
      <c r="W85" s="93" t="s">
        <v>451</v>
      </c>
      <c r="X85" s="14">
        <f t="shared" si="123"/>
        <v>5</v>
      </c>
      <c r="Y85" s="283">
        <f t="shared" si="106"/>
        <v>31.999999999999996</v>
      </c>
      <c r="Z85" s="14">
        <f>P55</f>
        <v>6.4</v>
      </c>
      <c r="AA85" s="283">
        <f t="shared" si="106"/>
        <v>25.999999999999986</v>
      </c>
      <c r="AB85" s="69">
        <f>Table351550526[[#This Row],[Floor4]]+Table351550526[[#This Row],[Vault6]]</f>
        <v>11.4</v>
      </c>
      <c r="AC85" s="283">
        <f t="shared" ref="AC85" si="127">SUMPRODUCT((AB$7:AB$103&gt;AB85)/COUNTIF(AB$7:AB$103,AB$7:AB$103&amp;""))+1</f>
        <v>45.999999999999993</v>
      </c>
    </row>
    <row r="86" spans="1:29">
      <c r="U86" s="406" t="s">
        <v>454</v>
      </c>
      <c r="V86" s="396">
        <v>258</v>
      </c>
      <c r="W86" s="436" t="s">
        <v>452</v>
      </c>
      <c r="X86" s="401">
        <f t="shared" si="123"/>
        <v>0</v>
      </c>
      <c r="Y86" s="402">
        <f t="shared" si="106"/>
        <v>33.000000000000014</v>
      </c>
      <c r="Z86" s="401">
        <f t="shared" si="124"/>
        <v>0</v>
      </c>
      <c r="AA86" s="402">
        <f t="shared" si="106"/>
        <v>29.999999999999979</v>
      </c>
      <c r="AB86" s="403">
        <f>Table351550526[[#This Row],[Floor4]]+Table351550526[[#This Row],[Vault6]]</f>
        <v>0</v>
      </c>
      <c r="AC86" s="402">
        <f t="shared" ref="AC86" si="128">SUMPRODUCT((AB$7:AB$103&gt;AB86)/COUNTIF(AB$7:AB$103,AB$7:AB$103&amp;""))+1</f>
        <v>49.999999999999993</v>
      </c>
    </row>
    <row r="87" spans="1:29">
      <c r="U87" s="16" t="s">
        <v>454</v>
      </c>
      <c r="V87" s="151">
        <v>259</v>
      </c>
      <c r="W87" s="93" t="s">
        <v>1082</v>
      </c>
      <c r="X87" s="14">
        <f t="shared" si="123"/>
        <v>5</v>
      </c>
      <c r="Y87" s="283">
        <f t="shared" si="106"/>
        <v>31.999999999999996</v>
      </c>
      <c r="Z87" s="14">
        <f t="shared" si="124"/>
        <v>6.4</v>
      </c>
      <c r="AA87" s="283">
        <f t="shared" si="106"/>
        <v>25.999999999999986</v>
      </c>
      <c r="AB87" s="69">
        <f>Table351550526[[#This Row],[Floor4]]+Table351550526[[#This Row],[Vault6]]</f>
        <v>11.4</v>
      </c>
      <c r="AC87" s="283">
        <f t="shared" ref="AC87" si="129">SUMPRODUCT((AB$7:AB$103&gt;AB87)/COUNTIF(AB$7:AB$103,AB$7:AB$103&amp;""))+1</f>
        <v>45.999999999999993</v>
      </c>
    </row>
    <row r="88" spans="1:29">
      <c r="U88" s="120" t="s">
        <v>301</v>
      </c>
      <c r="V88" s="149">
        <v>211</v>
      </c>
      <c r="W88" s="262" t="s">
        <v>1301</v>
      </c>
      <c r="X88" s="14">
        <f>C35</f>
        <v>8.3000000000000007</v>
      </c>
      <c r="Y88" s="283">
        <f t="shared" si="106"/>
        <v>15.999999999999995</v>
      </c>
      <c r="Z88" s="14">
        <f>D35</f>
        <v>7.45</v>
      </c>
      <c r="AA88" s="283">
        <f t="shared" si="106"/>
        <v>8</v>
      </c>
      <c r="AB88" s="69">
        <f>Table351550526[[#This Row],[Floor4]]+Table351550526[[#This Row],[Vault6]]</f>
        <v>15.75</v>
      </c>
      <c r="AC88" s="283">
        <f t="shared" ref="AC88" si="130">SUMPRODUCT((AB$7:AB$103&gt;AB88)/COUNTIF(AB$7:AB$103,AB$7:AB$103&amp;""))+1</f>
        <v>15</v>
      </c>
    </row>
    <row r="89" spans="1:29">
      <c r="U89" s="307" t="s">
        <v>135</v>
      </c>
      <c r="V89" s="318">
        <v>268</v>
      </c>
      <c r="W89" s="308" t="s">
        <v>146</v>
      </c>
      <c r="X89" s="295">
        <f>'BEG 11&amp;U MX'!D11</f>
        <v>9.25</v>
      </c>
      <c r="Y89" s="283">
        <f t="shared" si="106"/>
        <v>1</v>
      </c>
      <c r="Z89" s="295">
        <f>'BEG 11&amp;U MX'!E11</f>
        <v>7.9</v>
      </c>
      <c r="AA89" s="283">
        <f t="shared" si="106"/>
        <v>2</v>
      </c>
      <c r="AB89" s="299">
        <f>Table351550526[[#This Row],[Floor4]]+Table351550526[[#This Row],[Vault6]]</f>
        <v>17.149999999999999</v>
      </c>
      <c r="AC89" s="283">
        <f t="shared" ref="AC89" si="131">SUMPRODUCT((AB$7:AB$103&gt;AB89)/COUNTIF(AB$7:AB$103,AB$7:AB$103&amp;""))+1</f>
        <v>1</v>
      </c>
    </row>
    <row r="90" spans="1:29">
      <c r="U90" s="307" t="s">
        <v>135</v>
      </c>
      <c r="V90" s="318">
        <v>269</v>
      </c>
      <c r="W90" s="308" t="s">
        <v>42</v>
      </c>
      <c r="X90" s="295">
        <f>'BEG 11&amp;U MX'!D12</f>
        <v>9.0500000000000007</v>
      </c>
      <c r="Y90" s="283">
        <f t="shared" si="106"/>
        <v>2</v>
      </c>
      <c r="Z90" s="295">
        <f>'BEG 11&amp;U MX'!E12</f>
        <v>7.3</v>
      </c>
      <c r="AA90" s="283">
        <f t="shared" si="106"/>
        <v>11.000000000000004</v>
      </c>
      <c r="AB90" s="299">
        <f>Table351550526[[#This Row],[Floor4]]+Table351550526[[#This Row],[Vault6]]</f>
        <v>16.350000000000001</v>
      </c>
      <c r="AC90" s="283">
        <f t="shared" ref="AC90" si="132">SUMPRODUCT((AB$7:AB$103&gt;AB90)/COUNTIF(AB$7:AB$103,AB$7:AB$103&amp;""))+1</f>
        <v>4</v>
      </c>
    </row>
    <row r="91" spans="1:29">
      <c r="U91" s="307" t="s">
        <v>135</v>
      </c>
      <c r="V91" s="319">
        <v>270</v>
      </c>
      <c r="W91" s="311" t="s">
        <v>147</v>
      </c>
      <c r="X91" s="295">
        <f>'BEG 11&amp;U MX'!D13</f>
        <v>9</v>
      </c>
      <c r="Y91" s="283">
        <f t="shared" si="106"/>
        <v>3</v>
      </c>
      <c r="Z91" s="295">
        <f>'BEG 11&amp;U MX'!E13</f>
        <v>7.45</v>
      </c>
      <c r="AA91" s="283">
        <f t="shared" si="106"/>
        <v>8</v>
      </c>
      <c r="AB91" s="299">
        <f>Table351550526[[#This Row],[Floor4]]+Table351550526[[#This Row],[Vault6]]</f>
        <v>16.45</v>
      </c>
      <c r="AC91" s="283">
        <f t="shared" ref="AC91" si="133">SUMPRODUCT((AB$7:AB$103&gt;AB91)/COUNTIF(AB$7:AB$103,AB$7:AB$103&amp;""))+1</f>
        <v>3</v>
      </c>
    </row>
    <row r="92" spans="1:29">
      <c r="U92" s="307" t="s">
        <v>706</v>
      </c>
      <c r="V92" s="318">
        <v>274</v>
      </c>
      <c r="W92" s="308" t="s">
        <v>283</v>
      </c>
      <c r="X92" s="295">
        <f>'BEG 11&amp;U MX'!O11</f>
        <v>8.25</v>
      </c>
      <c r="Y92" s="283">
        <f t="shared" si="106"/>
        <v>16.999999999999993</v>
      </c>
      <c r="Z92" s="295">
        <f>'BEG 11&amp;U MX'!P11</f>
        <v>7.35</v>
      </c>
      <c r="AA92" s="283">
        <f t="shared" si="106"/>
        <v>10</v>
      </c>
      <c r="AB92" s="299">
        <f>Table351550526[[#This Row],[Floor4]]+Table351550526[[#This Row],[Vault6]]</f>
        <v>15.6</v>
      </c>
      <c r="AC92" s="283">
        <f t="shared" ref="AC92" si="134">SUMPRODUCT((AB$7:AB$103&gt;AB92)/COUNTIF(AB$7:AB$103,AB$7:AB$103&amp;""))+1</f>
        <v>17.000000000000004</v>
      </c>
    </row>
    <row r="93" spans="1:29">
      <c r="U93" s="309" t="s">
        <v>706</v>
      </c>
      <c r="V93" s="319">
        <v>275</v>
      </c>
      <c r="W93" s="311" t="s">
        <v>725</v>
      </c>
      <c r="X93" s="295">
        <f>'BEG 11&amp;U MX'!O12</f>
        <v>8.0500000000000007</v>
      </c>
      <c r="Y93" s="283">
        <f t="shared" si="106"/>
        <v>20.999999999999993</v>
      </c>
      <c r="Z93" s="295">
        <f>'BEG 11&amp;U MX'!P12</f>
        <v>7.25</v>
      </c>
      <c r="AA93" s="283">
        <f t="shared" si="106"/>
        <v>12.000000000000004</v>
      </c>
      <c r="AB93" s="299">
        <f>Table351550526[[#This Row],[Floor4]]+Table351550526[[#This Row],[Vault6]]</f>
        <v>15.3</v>
      </c>
      <c r="AC93" s="283">
        <f t="shared" ref="AC93" si="135">SUMPRODUCT((AB$7:AB$103&gt;AB93)/COUNTIF(AB$7:AB$103,AB$7:AB$103&amp;""))+1</f>
        <v>23</v>
      </c>
    </row>
    <row r="94" spans="1:29">
      <c r="U94" s="307" t="s">
        <v>306</v>
      </c>
      <c r="V94" s="318">
        <v>279</v>
      </c>
      <c r="W94" s="308" t="s">
        <v>310</v>
      </c>
      <c r="X94" s="295">
        <f>'BEG 11&amp;U MX'!D21</f>
        <v>7.8</v>
      </c>
      <c r="Y94" s="283">
        <f t="shared" si="106"/>
        <v>23.999999999999989</v>
      </c>
      <c r="Z94" s="295">
        <f>'BEG 11&amp;U MX'!E21</f>
        <v>6.75</v>
      </c>
      <c r="AA94" s="283">
        <f t="shared" si="106"/>
        <v>19.999999999999993</v>
      </c>
      <c r="AB94" s="299">
        <f>Table351550526[[#This Row],[Floor4]]+Table351550526[[#This Row],[Vault6]]</f>
        <v>14.55</v>
      </c>
      <c r="AC94" s="283">
        <f t="shared" ref="AC94" si="136">SUMPRODUCT((AB$7:AB$103&gt;AB94)/COUNTIF(AB$7:AB$103,AB$7:AB$103&amp;""))+1</f>
        <v>34.999999999999986</v>
      </c>
    </row>
    <row r="95" spans="1:29">
      <c r="U95" s="307" t="s">
        <v>306</v>
      </c>
      <c r="V95" s="318">
        <v>280</v>
      </c>
      <c r="W95" s="308" t="s">
        <v>311</v>
      </c>
      <c r="X95" s="295">
        <f>'BEG 11&amp;U MX'!D22</f>
        <v>8.0500000000000007</v>
      </c>
      <c r="Y95" s="283">
        <f t="shared" si="106"/>
        <v>20.999999999999993</v>
      </c>
      <c r="Z95" s="295">
        <f>'BEG 11&amp;U MX'!E22</f>
        <v>6.7</v>
      </c>
      <c r="AA95" s="283">
        <f t="shared" si="106"/>
        <v>20.999999999999993</v>
      </c>
      <c r="AB95" s="299">
        <f>Table351550526[[#This Row],[Floor4]]+Table351550526[[#This Row],[Vault6]]</f>
        <v>14.75</v>
      </c>
      <c r="AC95" s="283">
        <f t="shared" ref="AC95" si="137">SUMPRODUCT((AB$7:AB$103&gt;AB95)/COUNTIF(AB$7:AB$103,AB$7:AB$103&amp;""))+1</f>
        <v>31.999999999999986</v>
      </c>
    </row>
    <row r="96" spans="1:29">
      <c r="U96" s="307" t="s">
        <v>306</v>
      </c>
      <c r="V96" s="318">
        <v>281</v>
      </c>
      <c r="W96" s="373" t="s">
        <v>309</v>
      </c>
      <c r="X96" s="295">
        <f>'BEG 11&amp;U MX'!D23</f>
        <v>8.5500000000000007</v>
      </c>
      <c r="Y96" s="283">
        <f t="shared" si="106"/>
        <v>12</v>
      </c>
      <c r="Z96" s="295">
        <f>'BEG 11&amp;U MX'!E23</f>
        <v>7.6</v>
      </c>
      <c r="AA96" s="283">
        <f t="shared" si="106"/>
        <v>5</v>
      </c>
      <c r="AB96" s="299">
        <f>Table351550526[[#This Row],[Floor4]]+Table351550526[[#This Row],[Vault6]]</f>
        <v>16.149999999999999</v>
      </c>
      <c r="AC96" s="283">
        <f t="shared" ref="AC96" si="138">SUMPRODUCT((AB$7:AB$103&gt;AB96)/COUNTIF(AB$7:AB$103,AB$7:AB$103&amp;""))+1</f>
        <v>9</v>
      </c>
    </row>
    <row r="97" spans="1:29">
      <c r="U97" s="307" t="s">
        <v>306</v>
      </c>
      <c r="V97" s="319">
        <v>282</v>
      </c>
      <c r="W97" s="311" t="s">
        <v>777</v>
      </c>
      <c r="X97" s="295">
        <f>'BEG 11&amp;U MX'!D24</f>
        <v>6.8</v>
      </c>
      <c r="Y97" s="283">
        <f t="shared" si="106"/>
        <v>30.999999999999996</v>
      </c>
      <c r="Z97" s="295">
        <f>'BEG 11&amp;U MX'!E24</f>
        <v>6.4</v>
      </c>
      <c r="AA97" s="283">
        <f t="shared" si="106"/>
        <v>25.999999999999986</v>
      </c>
      <c r="AB97" s="299">
        <f>Table351550526[[#This Row],[Floor4]]+Table351550526[[#This Row],[Vault6]]</f>
        <v>13.2</v>
      </c>
      <c r="AC97" s="283">
        <f t="shared" ref="AC97" si="139">SUMPRODUCT((AB$7:AB$103&gt;AB97)/COUNTIF(AB$7:AB$103,AB$7:AB$103&amp;""))+1</f>
        <v>39.999999999999993</v>
      </c>
    </row>
    <row r="98" spans="1:29">
      <c r="U98" s="309" t="s">
        <v>854</v>
      </c>
      <c r="V98" s="319">
        <v>286</v>
      </c>
      <c r="W98" s="311" t="s">
        <v>849</v>
      </c>
      <c r="X98" s="296">
        <f>'BEG 11&amp;U MX'!O22</f>
        <v>8.1</v>
      </c>
      <c r="Y98" s="283">
        <f t="shared" si="106"/>
        <v>19.999999999999996</v>
      </c>
      <c r="Z98" s="296">
        <f>'BEG 11&amp;U MX'!P22</f>
        <v>7.35</v>
      </c>
      <c r="AA98" s="283">
        <f t="shared" si="106"/>
        <v>10</v>
      </c>
      <c r="AB98" s="299">
        <f>Table351550526[[#This Row],[Floor4]]+Table351550526[[#This Row],[Vault6]]</f>
        <v>15.45</v>
      </c>
      <c r="AC98" s="283">
        <f t="shared" ref="AC98" si="140">SUMPRODUCT((AB$7:AB$103&gt;AB98)/COUNTIF(AB$7:AB$103,AB$7:AB$103&amp;""))+1</f>
        <v>19.999999999999996</v>
      </c>
    </row>
    <row r="99" spans="1:29">
      <c r="G99" s="102"/>
      <c r="H99" s="103"/>
      <c r="I99" s="73"/>
      <c r="J99" s="73"/>
      <c r="K99" s="73"/>
      <c r="U99" s="309" t="s">
        <v>854</v>
      </c>
      <c r="V99" s="319">
        <v>288</v>
      </c>
      <c r="W99" s="311" t="s">
        <v>850</v>
      </c>
      <c r="X99" s="296">
        <f>'BEG 11&amp;U MX'!O24</f>
        <v>8.15</v>
      </c>
      <c r="Y99" s="283">
        <f t="shared" si="106"/>
        <v>18.999999999999993</v>
      </c>
      <c r="Z99" s="296">
        <f>'BEG 11&amp;U MX'!P24</f>
        <v>6.6</v>
      </c>
      <c r="AA99" s="283">
        <f t="shared" si="106"/>
        <v>21.999999999999993</v>
      </c>
      <c r="AB99" s="299">
        <f>Table351550526[[#This Row],[Floor4]]+Table351550526[[#This Row],[Vault6]]</f>
        <v>14.75</v>
      </c>
      <c r="AC99" s="283">
        <f t="shared" ref="AC99" si="141">SUMPRODUCT((AB$7:AB$103&gt;AB99)/COUNTIF(AB$7:AB$103,AB$7:AB$103&amp;""))+1</f>
        <v>31.999999999999986</v>
      </c>
    </row>
    <row r="100" spans="1:29">
      <c r="G100" s="102"/>
      <c r="H100" s="103"/>
      <c r="I100" s="73"/>
      <c r="J100" s="73"/>
      <c r="K100" s="73"/>
      <c r="U100" s="307" t="s">
        <v>889</v>
      </c>
      <c r="V100" s="318">
        <v>292</v>
      </c>
      <c r="W100" s="308" t="s">
        <v>370</v>
      </c>
      <c r="X100" s="295">
        <f>'BEG 11&amp;U MX'!Z22</f>
        <v>8.15</v>
      </c>
      <c r="Y100" s="283">
        <f t="shared" si="106"/>
        <v>18.999999999999993</v>
      </c>
      <c r="Z100" s="295">
        <f>'BEG 11&amp;U MX'!AA22</f>
        <v>7.4</v>
      </c>
      <c r="AA100" s="283">
        <f t="shared" si="106"/>
        <v>9.0000000000000018</v>
      </c>
      <c r="AB100" s="299">
        <f>Table351550526[[#This Row],[Floor4]]+Table351550526[[#This Row],[Vault6]]</f>
        <v>15.55</v>
      </c>
      <c r="AC100" s="283">
        <f t="shared" ref="AC100" si="142">SUMPRODUCT((AB$7:AB$103&gt;AB100)/COUNTIF(AB$7:AB$103,AB$7:AB$103&amp;""))+1</f>
        <v>18</v>
      </c>
    </row>
    <row r="101" spans="1:29">
      <c r="A101" s="102"/>
      <c r="B101" s="110"/>
      <c r="C101" s="110"/>
      <c r="D101" s="110"/>
      <c r="E101" s="68"/>
      <c r="G101" s="102"/>
      <c r="H101" s="103"/>
      <c r="I101" s="73"/>
      <c r="J101" s="73"/>
      <c r="K101" s="68"/>
      <c r="U101" s="307" t="s">
        <v>889</v>
      </c>
      <c r="V101" s="318">
        <v>293</v>
      </c>
      <c r="W101" s="308" t="s">
        <v>893</v>
      </c>
      <c r="X101" s="295">
        <f>'BEG 11&amp;U MX'!Z23</f>
        <v>8.1</v>
      </c>
      <c r="Y101" s="283">
        <f t="shared" si="106"/>
        <v>19.999999999999996</v>
      </c>
      <c r="Z101" s="295">
        <f>'BEG 11&amp;U MX'!AA23</f>
        <v>7.1</v>
      </c>
      <c r="AA101" s="283">
        <f t="shared" si="106"/>
        <v>15</v>
      </c>
      <c r="AB101" s="299">
        <f>Table351550526[[#This Row],[Floor4]]+Table351550526[[#This Row],[Vault6]]</f>
        <v>15.2</v>
      </c>
      <c r="AC101" s="283">
        <f t="shared" ref="AC101" si="143">SUMPRODUCT((AB$7:AB$103&gt;AB101)/COUNTIF(AB$7:AB$103,AB$7:AB$103&amp;""))+1</f>
        <v>23.999999999999996</v>
      </c>
    </row>
    <row r="102" spans="1:29">
      <c r="U102" s="307" t="s">
        <v>889</v>
      </c>
      <c r="V102" s="319">
        <v>294</v>
      </c>
      <c r="W102" s="311" t="s">
        <v>894</v>
      </c>
      <c r="X102" s="295">
        <f>'BEG 11&amp;U MX'!Z24</f>
        <v>8.25</v>
      </c>
      <c r="Y102" s="283">
        <f t="shared" si="106"/>
        <v>16.999999999999993</v>
      </c>
      <c r="Z102" s="295">
        <f>'BEG 11&amp;U MX'!AA24</f>
        <v>6.55</v>
      </c>
      <c r="AA102" s="283">
        <f t="shared" si="106"/>
        <v>22.999999999999993</v>
      </c>
      <c r="AB102" s="299">
        <f>Table351550526[[#This Row],[Floor4]]+Table351550526[[#This Row],[Vault6]]</f>
        <v>14.8</v>
      </c>
      <c r="AC102" s="283">
        <f t="shared" ref="AC102" si="144">SUMPRODUCT((AB$7:AB$103&gt;AB102)/COUNTIF(AB$7:AB$103,AB$7:AB$103&amp;""))+1</f>
        <v>30.999999999999986</v>
      </c>
    </row>
    <row r="103" spans="1:29">
      <c r="U103" s="120" t="s">
        <v>391</v>
      </c>
      <c r="V103" s="386">
        <v>246</v>
      </c>
      <c r="W103" s="109" t="s">
        <v>1371</v>
      </c>
      <c r="X103" s="17">
        <f>C56</f>
        <v>8</v>
      </c>
      <c r="Y103" s="283">
        <f t="shared" si="106"/>
        <v>21.999999999999989</v>
      </c>
      <c r="Z103" s="17">
        <f>D56</f>
        <v>7.45</v>
      </c>
      <c r="AA103" s="283">
        <f t="shared" si="106"/>
        <v>8</v>
      </c>
      <c r="AB103" s="385">
        <f>Table351550526[[#This Row],[Floor4]]+Table351550526[[#This Row],[Vault6]]</f>
        <v>15.45</v>
      </c>
      <c r="AC103" s="283">
        <f t="shared" ref="AC103" si="145">SUMPRODUCT((AB$7:AB$103&gt;AB103)/COUNTIF(AB$7:AB$103,AB$7:AB$103&amp;""))+1</f>
        <v>19.999999999999996</v>
      </c>
    </row>
  </sheetData>
  <mergeCells count="4">
    <mergeCell ref="A1:AC1"/>
    <mergeCell ref="A2:AC2"/>
    <mergeCell ref="G4:I4"/>
    <mergeCell ref="M17:R17"/>
  </mergeCells>
  <phoneticPr fontId="21" type="noConversion"/>
  <conditionalFormatting sqref="Y7:Y103">
    <cfRule type="cellIs" dxfId="998" priority="16" operator="equal">
      <formula>3</formula>
    </cfRule>
    <cfRule type="cellIs" dxfId="997" priority="17" operator="equal">
      <formula>2</formula>
    </cfRule>
    <cfRule type="cellIs" dxfId="996" priority="18" operator="equal">
      <formula>1</formula>
    </cfRule>
  </conditionalFormatting>
  <conditionalFormatting sqref="P62:P76">
    <cfRule type="cellIs" dxfId="995" priority="7" operator="equal">
      <formula>3</formula>
    </cfRule>
    <cfRule type="cellIs" dxfId="994" priority="8" operator="equal">
      <formula>2</formula>
    </cfRule>
    <cfRule type="cellIs" dxfId="993" priority="9" operator="equal">
      <formula>1</formula>
    </cfRule>
  </conditionalFormatting>
  <conditionalFormatting sqref="AA7:AA103">
    <cfRule type="cellIs" dxfId="992" priority="4" operator="equal">
      <formula>3</formula>
    </cfRule>
    <cfRule type="cellIs" dxfId="991" priority="5" operator="equal">
      <formula>2</formula>
    </cfRule>
    <cfRule type="cellIs" dxfId="990" priority="6" operator="equal">
      <formula>1</formula>
    </cfRule>
  </conditionalFormatting>
  <conditionalFormatting sqref="AC7:AC103">
    <cfRule type="cellIs" dxfId="989" priority="1" operator="equal">
      <formula>3</formula>
    </cfRule>
    <cfRule type="cellIs" dxfId="988" priority="2" operator="equal">
      <formula>2</formula>
    </cfRule>
    <cfRule type="cellIs" dxfId="987" priority="3" operator="equal">
      <formula>1</formula>
    </cfRule>
  </conditionalFormatting>
  <pageMargins left="0.75" right="0.75" top="1" bottom="1" header="0.5" footer="0.5"/>
  <pageSetup paperSize="9" scale="52" orientation="landscape" horizontalDpi="4294967292" verticalDpi="4294967292"/>
  <colBreaks count="1" manualBreakCount="1">
    <brk id="29" max="1048575" man="1"/>
  </colBreaks>
  <ignoredErrors>
    <ignoredError sqref="Z7:Z103" formula="1"/>
  </ignoredErrors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D27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5" bestFit="1" customWidth="1"/>
    <col min="2" max="2" width="4.625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4.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  <col min="34" max="34" width="0.5" customWidth="1"/>
  </cols>
  <sheetData>
    <row r="1" spans="1:8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8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"/>
      <c r="BI2" s="2"/>
    </row>
    <row r="3" spans="1:82" ht="23.25"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21">
      <c r="A4" s="8"/>
      <c r="F4" s="1"/>
      <c r="G4" s="1"/>
      <c r="H4" s="1"/>
      <c r="I4" s="1"/>
      <c r="J4" s="1"/>
      <c r="K4" s="1"/>
      <c r="L4" s="467" t="s">
        <v>134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>
      <c r="V5" s="1"/>
    </row>
    <row r="6" spans="1:82">
      <c r="A6" s="470" t="s">
        <v>45</v>
      </c>
      <c r="B6" s="471"/>
      <c r="C6" s="471"/>
      <c r="D6" s="471"/>
      <c r="E6" s="471"/>
      <c r="F6" s="472"/>
      <c r="G6" s="8"/>
      <c r="H6" s="8"/>
      <c r="I6" s="8"/>
      <c r="J6" s="8"/>
      <c r="K6" s="8"/>
      <c r="L6" s="470" t="s">
        <v>85</v>
      </c>
      <c r="M6" s="471"/>
      <c r="N6" s="471"/>
      <c r="O6" s="471"/>
      <c r="P6" s="471"/>
      <c r="Q6" s="472"/>
      <c r="R6" s="8"/>
      <c r="S6" s="8"/>
      <c r="T6" s="8"/>
      <c r="U6" s="8"/>
      <c r="V6" s="8"/>
      <c r="Y6" s="39" t="s">
        <v>12</v>
      </c>
      <c r="Z6" s="43" t="s">
        <v>5</v>
      </c>
      <c r="AA6" s="44" t="s">
        <v>11</v>
      </c>
      <c r="AC6" s="8"/>
      <c r="AD6" s="8"/>
      <c r="AE6" s="8"/>
      <c r="AF6" s="8"/>
      <c r="AG6" s="8"/>
    </row>
    <row r="7" spans="1:82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12" t="s">
        <v>6</v>
      </c>
      <c r="H7" s="11"/>
      <c r="I7" s="11" t="s">
        <v>7</v>
      </c>
      <c r="J7" s="11"/>
      <c r="L7" s="9" t="s">
        <v>0</v>
      </c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R7" s="10" t="s">
        <v>6</v>
      </c>
      <c r="S7" s="11"/>
      <c r="T7" s="11" t="s">
        <v>7</v>
      </c>
      <c r="U7" s="11"/>
      <c r="Y7" t="s">
        <v>21</v>
      </c>
      <c r="Z7" s="47">
        <f>F14</f>
        <v>67.25</v>
      </c>
      <c r="AA7" s="40">
        <f>SUMPRODUCT((Z$7:Z$11&gt;Z7)/COUNTIF(Z$7:Z$11,Z$7:Z$11&amp;""))+1</f>
        <v>1</v>
      </c>
      <c r="AC7" s="112" t="s">
        <v>6</v>
      </c>
      <c r="AD7" s="11"/>
      <c r="AE7" s="11" t="s">
        <v>7</v>
      </c>
      <c r="AF7" s="11"/>
    </row>
    <row r="8" spans="1:82">
      <c r="A8" s="12" t="s">
        <v>8</v>
      </c>
      <c r="B8" s="149">
        <v>265</v>
      </c>
      <c r="C8" s="93" t="s">
        <v>40</v>
      </c>
      <c r="D8" s="13">
        <v>9.15</v>
      </c>
      <c r="E8" s="13">
        <v>8.1</v>
      </c>
      <c r="F8" s="13">
        <f>SUM(D8:E8)</f>
        <v>17.25</v>
      </c>
      <c r="G8" s="11">
        <f t="shared" ref="G8:G13" si="0">IF(A8="M",D8)</f>
        <v>9.15</v>
      </c>
      <c r="H8" s="11" t="b">
        <f t="shared" ref="H8:H13" si="1">IF(A8="F",D8)</f>
        <v>0</v>
      </c>
      <c r="I8" s="11">
        <f t="shared" ref="I8:I13" si="2">IF(A8="M",E8)</f>
        <v>8.1</v>
      </c>
      <c r="J8" s="11" t="b">
        <f t="shared" ref="J8:J13" si="3">IF(A8="F",E8)</f>
        <v>0</v>
      </c>
      <c r="L8" s="12" t="s">
        <v>8</v>
      </c>
      <c r="M8" s="149">
        <v>271</v>
      </c>
      <c r="N8" s="8" t="s">
        <v>297</v>
      </c>
      <c r="O8" s="13">
        <v>9.35</v>
      </c>
      <c r="P8" s="13">
        <v>7.6</v>
      </c>
      <c r="Q8" s="13">
        <f>SUM(O8:P8)</f>
        <v>16.95</v>
      </c>
      <c r="R8" s="11">
        <f t="shared" ref="R8:R13" si="4">IF(L8="M",O8)</f>
        <v>9.35</v>
      </c>
      <c r="S8" s="11" t="b">
        <f t="shared" ref="S8:S13" si="5">IF(L8="F",O8)</f>
        <v>0</v>
      </c>
      <c r="T8" s="11">
        <f t="shared" ref="T8:T13" si="6">IF(L8="M",P8)</f>
        <v>7.6</v>
      </c>
      <c r="U8" s="11" t="b">
        <f t="shared" ref="U8:U13" si="7">IF(L8="F",P8)</f>
        <v>0</v>
      </c>
      <c r="Y8" t="s">
        <v>557</v>
      </c>
      <c r="Z8" s="47">
        <f>Q14</f>
        <v>64.05</v>
      </c>
      <c r="AA8" s="40">
        <f>SUMPRODUCT((Z$7:Z$11&gt;Z8)/COUNTIF(Z$7:Z$11,Z$7:Z$11&amp;""))+1</f>
        <v>2</v>
      </c>
      <c r="AC8" s="11" t="e">
        <f>IF(A19="M",#REF!)</f>
        <v>#REF!</v>
      </c>
      <c r="AD8" s="11" t="b">
        <f>IF(A19="F",#REF!)</f>
        <v>0</v>
      </c>
      <c r="AE8" s="11" t="e">
        <f>IF(A19="M",#REF!)</f>
        <v>#REF!</v>
      </c>
      <c r="AF8" s="11" t="b">
        <f>IF(A19="F",#REF!)</f>
        <v>0</v>
      </c>
    </row>
    <row r="9" spans="1:82">
      <c r="A9" s="12" t="s">
        <v>8</v>
      </c>
      <c r="B9" s="149">
        <v>266</v>
      </c>
      <c r="C9" s="93" t="s">
        <v>256</v>
      </c>
      <c r="D9" s="13">
        <v>8.9</v>
      </c>
      <c r="E9" s="13">
        <v>7.45</v>
      </c>
      <c r="F9" s="13">
        <f>SUM(D9:E9)</f>
        <v>16.350000000000001</v>
      </c>
      <c r="G9" s="11">
        <f t="shared" si="0"/>
        <v>8.9</v>
      </c>
      <c r="H9" s="11" t="b">
        <f t="shared" si="1"/>
        <v>0</v>
      </c>
      <c r="I9" s="11">
        <f t="shared" si="2"/>
        <v>7.45</v>
      </c>
      <c r="J9" s="11" t="b">
        <f t="shared" si="3"/>
        <v>0</v>
      </c>
      <c r="L9" s="12" t="s">
        <v>8</v>
      </c>
      <c r="M9" s="149">
        <v>272</v>
      </c>
      <c r="N9" s="100" t="s">
        <v>724</v>
      </c>
      <c r="O9" s="13">
        <v>8.9</v>
      </c>
      <c r="P9" s="13">
        <v>7.3</v>
      </c>
      <c r="Q9" s="13">
        <f>SUM(O9:P9)</f>
        <v>16.2</v>
      </c>
      <c r="R9" s="11">
        <f t="shared" si="4"/>
        <v>8.9</v>
      </c>
      <c r="S9" s="11" t="b">
        <f t="shared" si="5"/>
        <v>0</v>
      </c>
      <c r="T9" s="11">
        <f t="shared" si="6"/>
        <v>7.3</v>
      </c>
      <c r="U9" s="11" t="b">
        <f t="shared" si="7"/>
        <v>0</v>
      </c>
      <c r="Y9" s="45" t="s">
        <v>535</v>
      </c>
      <c r="Z9" s="47">
        <v>60.3</v>
      </c>
      <c r="AA9" s="40">
        <f>SUMPRODUCT((Z$7:Z$11&gt;Z9)/COUNTIF(Z$7:Z$11,Z$7:Z$11&amp;""))+1</f>
        <v>5</v>
      </c>
      <c r="AC9" s="11" t="e">
        <f>IF(A20="M",#REF!)</f>
        <v>#REF!</v>
      </c>
      <c r="AD9" s="11" t="b">
        <f>IF(A20="F",#REF!)</f>
        <v>0</v>
      </c>
      <c r="AE9" s="11" t="e">
        <f>IF(A20="M",#REF!)</f>
        <v>#REF!</v>
      </c>
      <c r="AF9" s="11" t="b">
        <f>IF(A20="F",#REF!)</f>
        <v>0</v>
      </c>
    </row>
    <row r="10" spans="1:82">
      <c r="A10" s="12" t="s">
        <v>8</v>
      </c>
      <c r="B10" s="149">
        <v>267</v>
      </c>
      <c r="C10" s="100" t="s">
        <v>144</v>
      </c>
      <c r="D10" s="13">
        <v>8.85</v>
      </c>
      <c r="E10" s="13">
        <v>7</v>
      </c>
      <c r="F10" s="13">
        <f t="shared" ref="F10:F13" si="8">SUM(D10:E10)</f>
        <v>15.85</v>
      </c>
      <c r="G10" s="11">
        <f t="shared" si="0"/>
        <v>8.85</v>
      </c>
      <c r="H10" s="11" t="b">
        <f t="shared" si="1"/>
        <v>0</v>
      </c>
      <c r="I10" s="11">
        <f t="shared" si="2"/>
        <v>7</v>
      </c>
      <c r="J10" s="11" t="b">
        <f t="shared" si="3"/>
        <v>0</v>
      </c>
      <c r="L10" s="12" t="s">
        <v>8</v>
      </c>
      <c r="M10" s="149">
        <v>273</v>
      </c>
      <c r="N10" s="97"/>
      <c r="O10" s="13">
        <v>0</v>
      </c>
      <c r="P10" s="13">
        <v>0</v>
      </c>
      <c r="Q10" s="13">
        <f t="shared" ref="Q10:Q13" si="9">SUM(O10:P10)</f>
        <v>0</v>
      </c>
      <c r="R10" s="11">
        <f t="shared" si="4"/>
        <v>0</v>
      </c>
      <c r="S10" s="11" t="b">
        <f t="shared" si="5"/>
        <v>0</v>
      </c>
      <c r="T10" s="11">
        <f t="shared" si="6"/>
        <v>0</v>
      </c>
      <c r="U10" s="11" t="b">
        <f t="shared" si="7"/>
        <v>0</v>
      </c>
      <c r="Y10" s="45" t="s">
        <v>1268</v>
      </c>
      <c r="Z10" s="47">
        <f>Q25</f>
        <v>61.099999999999994</v>
      </c>
      <c r="AA10" s="40">
        <f>SUMPRODUCT((Z$7:Z$11&gt;Z10)/COUNTIF(Z$7:Z$11,Z$7:Z$11&amp;""))+1</f>
        <v>4</v>
      </c>
      <c r="AC10" s="11" t="b">
        <f>IF(A21="M",D20)</f>
        <v>0</v>
      </c>
      <c r="AD10" s="11">
        <f>IF(A21="F",D20)</f>
        <v>7.35</v>
      </c>
      <c r="AE10" s="11" t="b">
        <f>IF(A21="M",E20)</f>
        <v>0</v>
      </c>
      <c r="AF10" s="11">
        <f>IF(A21="F",E20)</f>
        <v>7.2</v>
      </c>
    </row>
    <row r="11" spans="1:82">
      <c r="A11" s="12" t="s">
        <v>9</v>
      </c>
      <c r="B11" s="149">
        <v>268</v>
      </c>
      <c r="C11" s="93" t="s">
        <v>146</v>
      </c>
      <c r="D11" s="14">
        <v>9.25</v>
      </c>
      <c r="E11" s="14">
        <v>7.9</v>
      </c>
      <c r="F11" s="13">
        <f t="shared" si="8"/>
        <v>17.149999999999999</v>
      </c>
      <c r="G11" s="15" t="b">
        <f t="shared" si="0"/>
        <v>0</v>
      </c>
      <c r="H11" s="15">
        <f t="shared" si="1"/>
        <v>9.25</v>
      </c>
      <c r="I11" s="15" t="b">
        <f t="shared" si="2"/>
        <v>0</v>
      </c>
      <c r="J11" s="15">
        <f t="shared" si="3"/>
        <v>7.9</v>
      </c>
      <c r="K11" s="8"/>
      <c r="L11" s="12" t="s">
        <v>9</v>
      </c>
      <c r="M11" s="149">
        <v>274</v>
      </c>
      <c r="N11" s="100" t="s">
        <v>283</v>
      </c>
      <c r="O11" s="14">
        <v>8.25</v>
      </c>
      <c r="P11" s="14">
        <v>7.35</v>
      </c>
      <c r="Q11" s="13">
        <f>SUM(O11:P11)</f>
        <v>15.6</v>
      </c>
      <c r="R11" s="15" t="b">
        <f t="shared" si="4"/>
        <v>0</v>
      </c>
      <c r="S11" s="15">
        <f t="shared" si="5"/>
        <v>8.25</v>
      </c>
      <c r="T11" s="15" t="b">
        <f t="shared" si="6"/>
        <v>0</v>
      </c>
      <c r="U11" s="15">
        <f t="shared" si="7"/>
        <v>7.35</v>
      </c>
      <c r="V11" s="8"/>
      <c r="Y11" s="45" t="s">
        <v>1261</v>
      </c>
      <c r="Z11" s="47">
        <v>63.2</v>
      </c>
      <c r="AA11" s="40">
        <f>SUMPRODUCT((Z$7:Z$11&gt;Z11)/COUNTIF(Z$7:Z$11,Z$7:Z$11&amp;""))+1</f>
        <v>3</v>
      </c>
      <c r="AC11" s="15" t="b">
        <f>IF(A22="M",D21)</f>
        <v>0</v>
      </c>
      <c r="AD11" s="15">
        <f>IF(A22="F",D21)</f>
        <v>7.8</v>
      </c>
      <c r="AE11" s="15" t="b">
        <f>IF(A22="M",E21)</f>
        <v>0</v>
      </c>
      <c r="AF11" s="15">
        <f>IF(A22="F",E21)</f>
        <v>6.75</v>
      </c>
      <c r="AG11" s="8"/>
    </row>
    <row r="12" spans="1:82">
      <c r="A12" s="12" t="s">
        <v>9</v>
      </c>
      <c r="B12" s="149">
        <v>269</v>
      </c>
      <c r="C12" s="93" t="s">
        <v>42</v>
      </c>
      <c r="D12" s="14">
        <v>9.0500000000000007</v>
      </c>
      <c r="E12" s="14">
        <v>7.3</v>
      </c>
      <c r="F12" s="13">
        <f t="shared" si="8"/>
        <v>16.350000000000001</v>
      </c>
      <c r="G12" s="15" t="b">
        <f t="shared" si="0"/>
        <v>0</v>
      </c>
      <c r="H12" s="15">
        <f t="shared" si="1"/>
        <v>9.0500000000000007</v>
      </c>
      <c r="I12" s="15" t="b">
        <f t="shared" si="2"/>
        <v>0</v>
      </c>
      <c r="J12" s="15">
        <f t="shared" si="3"/>
        <v>7.3</v>
      </c>
      <c r="K12" s="8"/>
      <c r="L12" s="12" t="s">
        <v>9</v>
      </c>
      <c r="M12" s="149">
        <v>275</v>
      </c>
      <c r="N12" s="100" t="s">
        <v>725</v>
      </c>
      <c r="O12" s="14">
        <v>8.0500000000000007</v>
      </c>
      <c r="P12" s="14">
        <v>7.25</v>
      </c>
      <c r="Q12" s="13">
        <f t="shared" si="9"/>
        <v>15.3</v>
      </c>
      <c r="R12" s="15" t="b">
        <f t="shared" si="4"/>
        <v>0</v>
      </c>
      <c r="S12" s="15">
        <f t="shared" si="5"/>
        <v>8.0500000000000007</v>
      </c>
      <c r="T12" s="15" t="b">
        <f t="shared" si="6"/>
        <v>0</v>
      </c>
      <c r="U12" s="15">
        <f t="shared" si="7"/>
        <v>7.25</v>
      </c>
      <c r="V12" s="8"/>
      <c r="Y12" s="45"/>
      <c r="Z12" s="47"/>
      <c r="AA12" s="40"/>
      <c r="AC12" s="15" t="b">
        <f>IF(A23="M",D22)</f>
        <v>0</v>
      </c>
      <c r="AD12" s="15">
        <f>IF(A23="F",D22)</f>
        <v>8.0500000000000007</v>
      </c>
      <c r="AE12" s="15" t="b">
        <f>IF(A23="M",E22)</f>
        <v>0</v>
      </c>
      <c r="AF12" s="15">
        <f>IF(A23="F",E22)</f>
        <v>6.7</v>
      </c>
      <c r="AG12" s="8"/>
    </row>
    <row r="13" spans="1:82" ht="16.5" thickBot="1">
      <c r="A13" s="12" t="s">
        <v>9</v>
      </c>
      <c r="B13" s="149">
        <v>270</v>
      </c>
      <c r="C13" s="100" t="s">
        <v>147</v>
      </c>
      <c r="D13" s="14">
        <v>9</v>
      </c>
      <c r="E13" s="14">
        <v>7.45</v>
      </c>
      <c r="F13" s="13">
        <f t="shared" si="8"/>
        <v>16.45</v>
      </c>
      <c r="G13" s="15" t="b">
        <f t="shared" si="0"/>
        <v>0</v>
      </c>
      <c r="H13" s="15">
        <f t="shared" si="1"/>
        <v>9</v>
      </c>
      <c r="I13" s="15" t="b">
        <f t="shared" si="2"/>
        <v>0</v>
      </c>
      <c r="J13" s="15">
        <f t="shared" si="3"/>
        <v>7.45</v>
      </c>
      <c r="K13" s="8"/>
      <c r="L13" s="12" t="s">
        <v>9</v>
      </c>
      <c r="M13" s="149">
        <v>276</v>
      </c>
      <c r="N13" s="97"/>
      <c r="O13" s="14">
        <v>0</v>
      </c>
      <c r="P13" s="14">
        <v>0</v>
      </c>
      <c r="Q13" s="13">
        <f t="shared" si="9"/>
        <v>0</v>
      </c>
      <c r="R13" s="15" t="b">
        <f t="shared" si="4"/>
        <v>0</v>
      </c>
      <c r="S13" s="15">
        <f t="shared" si="5"/>
        <v>0</v>
      </c>
      <c r="T13" s="15" t="b">
        <f t="shared" si="6"/>
        <v>0</v>
      </c>
      <c r="U13" s="15">
        <f t="shared" si="7"/>
        <v>0</v>
      </c>
      <c r="V13" s="8"/>
      <c r="AC13" s="15" t="b">
        <f>IF(A24="M",D23)</f>
        <v>0</v>
      </c>
      <c r="AD13" s="15">
        <f>IF(A24="F",D23)</f>
        <v>8.5500000000000007</v>
      </c>
      <c r="AE13" s="15" t="b">
        <f>IF(A24="M",E23)</f>
        <v>0</v>
      </c>
      <c r="AF13" s="15">
        <f>IF(A24="F",E23)</f>
        <v>7.6</v>
      </c>
      <c r="AG13" s="8"/>
    </row>
    <row r="14" spans="1:82" ht="16.5" thickBot="1">
      <c r="A14" s="8"/>
      <c r="B14" s="8"/>
      <c r="C14" s="18" t="s">
        <v>10</v>
      </c>
      <c r="D14" s="19">
        <f>G16+H16</f>
        <v>36.349999999999994</v>
      </c>
      <c r="E14" s="19">
        <f>I16+J16</f>
        <v>30.9</v>
      </c>
      <c r="F14" s="20">
        <f>SUM(D14:E14)</f>
        <v>67.25</v>
      </c>
      <c r="G14" s="8">
        <f>COUNTIF(A8:A13,"M")</f>
        <v>3</v>
      </c>
      <c r="H14" s="8">
        <f>COUNTIF(A8:A13,"F")</f>
        <v>3</v>
      </c>
      <c r="I14" s="8">
        <f>COUNTIF(A8:A13,"M")</f>
        <v>3</v>
      </c>
      <c r="J14" s="8">
        <f>COUNTIF(A8:A13,"F")</f>
        <v>3</v>
      </c>
      <c r="K14" s="8"/>
      <c r="L14" s="8"/>
      <c r="M14" s="8"/>
      <c r="N14" s="18" t="s">
        <v>10</v>
      </c>
      <c r="O14" s="19">
        <f>R16+S16</f>
        <v>34.549999999999997</v>
      </c>
      <c r="P14" s="19">
        <f>T16+U16</f>
        <v>29.5</v>
      </c>
      <c r="Q14" s="20">
        <f>SUM(O14:P14)</f>
        <v>64.05</v>
      </c>
      <c r="R14" s="8">
        <f>COUNTIF(L8:L13,"M")</f>
        <v>3</v>
      </c>
      <c r="S14" s="8">
        <f>COUNTIF(L8:L13,"F")</f>
        <v>3</v>
      </c>
      <c r="T14" s="8">
        <f>COUNTIF(L8:L13,"M")</f>
        <v>3</v>
      </c>
      <c r="U14" s="8">
        <f>COUNTIF(L8:L13,"F")</f>
        <v>3</v>
      </c>
      <c r="V14" s="8"/>
      <c r="AC14" s="8">
        <f>COUNTIF(A19:A24,"M")</f>
        <v>2</v>
      </c>
      <c r="AD14" s="8">
        <f>COUNTIF(A19:A24,"F")</f>
        <v>4</v>
      </c>
      <c r="AE14" s="8">
        <f>COUNTIF(A19:A24,"M")</f>
        <v>2</v>
      </c>
      <c r="AF14" s="8">
        <f>COUNTIF(A19:A24,"F")</f>
        <v>4</v>
      </c>
      <c r="AG14" s="8"/>
    </row>
    <row r="15" spans="1:82">
      <c r="A15" s="8"/>
      <c r="B15" s="8"/>
      <c r="C15" s="94" t="s">
        <v>1302</v>
      </c>
      <c r="D15" s="64"/>
      <c r="E15" s="64"/>
      <c r="F15" s="105"/>
      <c r="G15" s="8"/>
      <c r="H15" s="8"/>
      <c r="I15" s="8"/>
      <c r="J15" s="8"/>
      <c r="K15" s="8"/>
      <c r="L15" s="8"/>
      <c r="M15" s="8"/>
      <c r="N15" s="94" t="s">
        <v>1302</v>
      </c>
      <c r="O15" s="64"/>
      <c r="P15" s="64"/>
      <c r="Q15" s="105"/>
      <c r="R15" s="8"/>
      <c r="S15" s="8"/>
      <c r="T15" s="8"/>
      <c r="U15" s="8"/>
      <c r="V15" s="8"/>
      <c r="AC15" s="8"/>
      <c r="AD15" s="8"/>
      <c r="AE15" s="8"/>
      <c r="AF15" s="8"/>
      <c r="AG15" s="8"/>
    </row>
    <row r="16" spans="1:82">
      <c r="A16" s="8"/>
      <c r="B16" s="21"/>
      <c r="C16" s="8"/>
      <c r="D16" s="8"/>
      <c r="E16" s="18"/>
      <c r="F16" s="22"/>
      <c r="G16" s="23">
        <f>IF(G14=2,SUM(G8:G13),IF(G14=3,SUM(G8:G13)-SMALL(G8:G13,1),IF(G14=4,SUM(G8:G13)-SMALL(G8:G13,1)-SMALL(G8:G13,2))))</f>
        <v>18.049999999999997</v>
      </c>
      <c r="H16" s="23">
        <f>IF(H14=2,SUM(H8:H13),IF(H14=3,SUM(H8:H13)-SMALL(H8:H13,1),IF(H14=4,SUM(H8:H13)-SMALL(H8:H13,1)-SMALL(H8:H13,2))))</f>
        <v>18.3</v>
      </c>
      <c r="I16" s="23">
        <f>IF(I14=2,SUM(I8:I13),IF(I14=3,SUM(I8:I13)-SMALL(I8:I13,1),IF(I14=4,SUM(I8:I13)-SMALL(I8:I13,1)-SMALL(I8:I13,2))))</f>
        <v>15.55</v>
      </c>
      <c r="J16" s="23">
        <f>IF(J14=2,SUM(J8:J13),IF(J14=3,SUM(J8:J13)-SMALL(J8:J13,1),IF(J14=4,SUM(J8:J13)-SMALL(J8:J13,1)-SMALL(J8:J13,2))))</f>
        <v>15.349999999999998</v>
      </c>
      <c r="K16" s="8"/>
      <c r="L16" s="8"/>
      <c r="M16" s="21"/>
      <c r="N16" s="8"/>
      <c r="O16" s="8"/>
      <c r="P16" s="18"/>
      <c r="Q16" s="22"/>
      <c r="R16" s="23">
        <f>IF(R14=2,SUM(R8:R13),IF(R14=3,SUM(R8:R13)-SMALL(R8:R13,1),IF(R14=4,SUM(R8:R13)-SMALL(R8:R13,1)-SMALL(R8:R13,2))))</f>
        <v>18.25</v>
      </c>
      <c r="S16" s="23">
        <f>IF(S14=2,SUM(S8:S13),IF(S14=3,SUM(S8:S13)-SMALL(S8:S13,1),IF(S14=4,SUM(S8:S13)-SMALL(S8:S13,1)-SMALL(S8:S13,2))))</f>
        <v>16.3</v>
      </c>
      <c r="T16" s="23">
        <f>IF(T14=2,SUM(T8:T13),IF(T14=3,SUM(T8:T13)-SMALL(T8:T13,1),IF(T14=4,SUM(T8:T13)-SMALL(T8:T13,1)-SMALL(T8:T13,2))))</f>
        <v>14.899999999999999</v>
      </c>
      <c r="U16" s="23">
        <f>IF(U14=2,SUM(U8:U13),IF(U14=3,SUM(U8:U13)-SMALL(U8:U13,1),IF(U14=4,SUM(U8:U13)-SMALL(U8:U13,1)-SMALL(U8:U13,2))))</f>
        <v>14.6</v>
      </c>
      <c r="V16" s="8"/>
      <c r="W16" s="8"/>
      <c r="X16" s="21"/>
      <c r="AB16" s="22"/>
      <c r="AC16" s="23" t="e">
        <f>IF(AC14=2,SUM(AC8:AC13),IF(AC14=3,SUM(AC8:AC13)-SMALL(AC8:AC13,1),IF(AC14=4,SUM(AC8:AC13)-SMALL(AC8:AC13,1)-SMALL(AC8:AC13,2))))</f>
        <v>#REF!</v>
      </c>
      <c r="AD16" s="23">
        <f>IF(AD14=2,SUM(AD8:AD13),IF(AD14=3,SUM(AD8:AD13)-SMALL(AD8:AD13,1),IF(AD14=4,SUM(AD8:AD13)-SMALL(AD8:AD13,1)-SMALL(AD8:AD13,2))))</f>
        <v>16.599999999999998</v>
      </c>
      <c r="AE16" s="23" t="e">
        <f>IF(AE14=2,SUM(AE8:AE13),IF(AE14=3,SUM(AE8:AE13)-SMALL(AE8:AE13,1),IF(AE14=4,SUM(AE8:AE13)-SMALL(AE8:AE13,1)-SMALL(AE8:AE13,2))))</f>
        <v>#REF!</v>
      </c>
      <c r="AF16" s="23">
        <f>IF(AF14=2,SUM(AF8:AF13),IF(AF14=3,SUM(AF8:AF13)-SMALL(AF8:AF13,1),IF(AF14=4,SUM(AF8:AF13)-SMALL(AF8:AF13,1)-SMALL(AF8:AF13,2))))</f>
        <v>14.8</v>
      </c>
      <c r="AG16" s="8"/>
    </row>
    <row r="17" spans="1:28">
      <c r="A17" s="470" t="s">
        <v>304</v>
      </c>
      <c r="B17" s="471"/>
      <c r="C17" s="471"/>
      <c r="D17" s="471"/>
      <c r="E17" s="471"/>
      <c r="F17" s="472"/>
      <c r="G17" s="8"/>
      <c r="H17" s="8"/>
      <c r="I17" s="8"/>
      <c r="J17" s="8"/>
      <c r="K17" s="8"/>
      <c r="L17" s="470" t="s">
        <v>848</v>
      </c>
      <c r="M17" s="471"/>
      <c r="N17" s="471"/>
      <c r="O17" s="471"/>
      <c r="P17" s="471"/>
      <c r="Q17" s="472"/>
      <c r="R17" s="8"/>
      <c r="S17" s="8"/>
      <c r="T17" s="8"/>
      <c r="U17" s="8"/>
      <c r="V17" s="8"/>
      <c r="W17" s="470" t="s">
        <v>887</v>
      </c>
      <c r="X17" s="471"/>
      <c r="Y17" s="471"/>
      <c r="Z17" s="471"/>
      <c r="AA17" s="471"/>
      <c r="AB17" s="472"/>
    </row>
    <row r="18" spans="1:28" s="8" customFormat="1">
      <c r="A18" s="9" t="s">
        <v>0</v>
      </c>
      <c r="B18" s="9" t="s">
        <v>1</v>
      </c>
      <c r="C18" s="9" t="s">
        <v>2</v>
      </c>
      <c r="D18" s="9" t="s">
        <v>3</v>
      </c>
      <c r="E18" s="9" t="s">
        <v>4</v>
      </c>
      <c r="F18" s="9" t="s">
        <v>5</v>
      </c>
      <c r="L18" s="9" t="s">
        <v>0</v>
      </c>
      <c r="M18" s="9" t="s">
        <v>1</v>
      </c>
      <c r="N18" s="9" t="s">
        <v>2</v>
      </c>
      <c r="O18" s="9" t="s">
        <v>3</v>
      </c>
      <c r="P18" s="9" t="s">
        <v>4</v>
      </c>
      <c r="Q18" s="9" t="s">
        <v>5</v>
      </c>
      <c r="W18" s="9" t="s">
        <v>0</v>
      </c>
      <c r="X18" s="9" t="s">
        <v>1</v>
      </c>
      <c r="Y18" s="9" t="s">
        <v>2</v>
      </c>
      <c r="Z18" s="9" t="s">
        <v>3</v>
      </c>
      <c r="AA18" s="9" t="s">
        <v>4</v>
      </c>
      <c r="AB18" s="9" t="s">
        <v>5</v>
      </c>
    </row>
    <row r="19" spans="1:28">
      <c r="A19" s="12" t="s">
        <v>8</v>
      </c>
      <c r="B19" s="149">
        <v>277</v>
      </c>
      <c r="C19" s="8" t="s">
        <v>775</v>
      </c>
      <c r="D19" s="13">
        <v>7.7</v>
      </c>
      <c r="E19" s="13">
        <v>7.1</v>
      </c>
      <c r="F19" s="13">
        <f>SUM(D19:E19)</f>
        <v>14.8</v>
      </c>
      <c r="G19" s="112">
        <f t="shared" ref="G19:G24" si="10">IF(L19="M",O19)</f>
        <v>7.9</v>
      </c>
      <c r="H19" s="15" t="b">
        <f t="shared" ref="H19:H24" si="11">IF(L19="F",O19)</f>
        <v>0</v>
      </c>
      <c r="I19" s="15">
        <f t="shared" ref="I19:I24" si="12">IF(L19="M",P19)</f>
        <v>7.3</v>
      </c>
      <c r="J19" s="15" t="b">
        <f t="shared" ref="J19:J24" si="13">IF(L19="F",P19)</f>
        <v>0</v>
      </c>
      <c r="K19" s="8"/>
      <c r="L19" s="12" t="s">
        <v>8</v>
      </c>
      <c r="M19" s="149">
        <v>283</v>
      </c>
      <c r="N19" s="8" t="s">
        <v>851</v>
      </c>
      <c r="O19" s="13">
        <v>7.9</v>
      </c>
      <c r="P19" s="13">
        <v>7.3</v>
      </c>
      <c r="Q19" s="13">
        <f>SUM(O19:P19)</f>
        <v>15.2</v>
      </c>
      <c r="R19" s="112"/>
      <c r="S19" s="15"/>
      <c r="T19" s="15"/>
      <c r="U19" s="15"/>
      <c r="V19" s="8"/>
      <c r="W19" s="12" t="s">
        <v>8</v>
      </c>
      <c r="X19" s="149">
        <v>289</v>
      </c>
      <c r="Y19" s="8" t="s">
        <v>891</v>
      </c>
      <c r="Z19" s="13">
        <v>8.5500000000000007</v>
      </c>
      <c r="AA19" s="13">
        <v>6</v>
      </c>
      <c r="AB19" s="13">
        <f>SUM(Z19:AA19)</f>
        <v>14.55</v>
      </c>
    </row>
    <row r="20" spans="1:28">
      <c r="A20" s="12" t="s">
        <v>8</v>
      </c>
      <c r="B20" s="149">
        <v>278</v>
      </c>
      <c r="C20" s="100" t="s">
        <v>776</v>
      </c>
      <c r="D20" s="13">
        <v>7.35</v>
      </c>
      <c r="E20" s="13">
        <v>7.2</v>
      </c>
      <c r="F20" s="13">
        <f>SUM(D20:E20)</f>
        <v>14.55</v>
      </c>
      <c r="G20" s="15">
        <f t="shared" si="10"/>
        <v>8.35</v>
      </c>
      <c r="H20" s="15" t="b">
        <f t="shared" si="11"/>
        <v>0</v>
      </c>
      <c r="I20" s="15">
        <f t="shared" si="12"/>
        <v>7.35</v>
      </c>
      <c r="J20" s="15" t="b">
        <f t="shared" si="13"/>
        <v>0</v>
      </c>
      <c r="K20" s="8"/>
      <c r="L20" s="12" t="s">
        <v>8</v>
      </c>
      <c r="M20" s="149">
        <v>284</v>
      </c>
      <c r="N20" s="100" t="s">
        <v>852</v>
      </c>
      <c r="O20" s="13">
        <v>8.35</v>
      </c>
      <c r="P20" s="13">
        <v>7.35</v>
      </c>
      <c r="Q20" s="13">
        <f>SUM(O20:P20)</f>
        <v>15.7</v>
      </c>
      <c r="R20" s="15"/>
      <c r="S20" s="15"/>
      <c r="T20" s="15"/>
      <c r="U20" s="15"/>
      <c r="V20" s="8"/>
      <c r="W20" s="12" t="s">
        <v>8</v>
      </c>
      <c r="X20" s="149">
        <v>290</v>
      </c>
      <c r="Y20" s="100" t="s">
        <v>892</v>
      </c>
      <c r="Z20" s="13">
        <v>8.35</v>
      </c>
      <c r="AA20" s="13">
        <v>7.8</v>
      </c>
      <c r="AB20" s="13">
        <f>SUM(Z20:AA20)</f>
        <v>16.149999999999999</v>
      </c>
    </row>
    <row r="21" spans="1:28">
      <c r="A21" s="12" t="s">
        <v>9</v>
      </c>
      <c r="B21" s="149">
        <v>279</v>
      </c>
      <c r="C21" s="100" t="s">
        <v>310</v>
      </c>
      <c r="D21" s="13">
        <v>7.8</v>
      </c>
      <c r="E21" s="13">
        <v>6.75</v>
      </c>
      <c r="F21" s="13">
        <f t="shared" ref="F21" si="14">SUM(D21:E21)</f>
        <v>14.55</v>
      </c>
      <c r="G21" s="15">
        <f t="shared" si="10"/>
        <v>0</v>
      </c>
      <c r="H21" s="15" t="b">
        <f t="shared" si="11"/>
        <v>0</v>
      </c>
      <c r="I21" s="15">
        <f t="shared" si="12"/>
        <v>0</v>
      </c>
      <c r="J21" s="15" t="b">
        <f t="shared" si="13"/>
        <v>0</v>
      </c>
      <c r="K21" s="8"/>
      <c r="L21" s="12" t="s">
        <v>8</v>
      </c>
      <c r="M21" s="149">
        <v>285</v>
      </c>
      <c r="N21" s="97"/>
      <c r="O21" s="13">
        <v>0</v>
      </c>
      <c r="P21" s="13">
        <v>0</v>
      </c>
      <c r="Q21" s="13">
        <f t="shared" ref="Q21" si="15">SUM(O21:P21)</f>
        <v>0</v>
      </c>
      <c r="R21" s="15"/>
      <c r="S21" s="15"/>
      <c r="T21" s="15"/>
      <c r="U21" s="15"/>
      <c r="V21" s="8"/>
      <c r="W21" s="12" t="s">
        <v>8</v>
      </c>
      <c r="X21" s="149">
        <v>291</v>
      </c>
      <c r="Y21" s="100" t="s">
        <v>371</v>
      </c>
      <c r="Z21" s="13">
        <v>8.4499999999999993</v>
      </c>
      <c r="AA21" s="13">
        <v>7.5</v>
      </c>
      <c r="AB21" s="13">
        <f t="shared" ref="AB21" si="16">SUM(Z21:AA21)</f>
        <v>15.95</v>
      </c>
    </row>
    <row r="22" spans="1:28">
      <c r="A22" s="12" t="s">
        <v>9</v>
      </c>
      <c r="B22" s="149">
        <v>280</v>
      </c>
      <c r="C22" s="100" t="s">
        <v>311</v>
      </c>
      <c r="D22" s="14">
        <v>8.0500000000000007</v>
      </c>
      <c r="E22" s="14">
        <v>6.7</v>
      </c>
      <c r="F22" s="13">
        <f>SUM(D22:E22)</f>
        <v>14.75</v>
      </c>
      <c r="G22" s="15" t="b">
        <f t="shared" si="10"/>
        <v>0</v>
      </c>
      <c r="H22" s="15">
        <f t="shared" si="11"/>
        <v>8.1</v>
      </c>
      <c r="I22" s="15" t="b">
        <f t="shared" si="12"/>
        <v>0</v>
      </c>
      <c r="J22" s="15">
        <f t="shared" si="13"/>
        <v>7.35</v>
      </c>
      <c r="K22" s="8"/>
      <c r="L22" s="12" t="s">
        <v>9</v>
      </c>
      <c r="M22" s="149">
        <v>286</v>
      </c>
      <c r="N22" s="100" t="s">
        <v>849</v>
      </c>
      <c r="O22" s="14">
        <v>8.1</v>
      </c>
      <c r="P22" s="14">
        <v>7.35</v>
      </c>
      <c r="Q22" s="13">
        <f>SUM(O22:P22)</f>
        <v>15.45</v>
      </c>
      <c r="R22" s="15"/>
      <c r="S22" s="15"/>
      <c r="T22" s="15"/>
      <c r="U22" s="15"/>
      <c r="V22" s="8"/>
      <c r="W22" s="12" t="s">
        <v>9</v>
      </c>
      <c r="X22" s="149">
        <v>292</v>
      </c>
      <c r="Y22" s="100" t="s">
        <v>370</v>
      </c>
      <c r="Z22" s="14">
        <v>8.15</v>
      </c>
      <c r="AA22" s="14">
        <v>7.4</v>
      </c>
      <c r="AB22" s="13">
        <f>SUM(Z22:AA22)</f>
        <v>15.55</v>
      </c>
    </row>
    <row r="23" spans="1:28">
      <c r="A23" s="12" t="s">
        <v>9</v>
      </c>
      <c r="B23" s="149">
        <v>281</v>
      </c>
      <c r="C23" s="286" t="s">
        <v>309</v>
      </c>
      <c r="D23" s="14">
        <v>8.5500000000000007</v>
      </c>
      <c r="E23" s="14">
        <v>7.6</v>
      </c>
      <c r="F23" s="13">
        <f t="shared" ref="F23:F24" si="17">SUM(D23:E23)</f>
        <v>16.149999999999999</v>
      </c>
      <c r="G23" t="b">
        <f t="shared" si="10"/>
        <v>0</v>
      </c>
      <c r="H23">
        <f t="shared" si="11"/>
        <v>0</v>
      </c>
      <c r="I23" t="b">
        <f t="shared" si="12"/>
        <v>0</v>
      </c>
      <c r="J23">
        <f t="shared" si="13"/>
        <v>0</v>
      </c>
      <c r="L23" s="12" t="s">
        <v>9</v>
      </c>
      <c r="M23" s="149">
        <v>287</v>
      </c>
      <c r="N23" s="97"/>
      <c r="O23" s="14">
        <v>0</v>
      </c>
      <c r="P23" s="14">
        <v>0</v>
      </c>
      <c r="Q23" s="13">
        <f t="shared" ref="Q23:Q24" si="18">SUM(O23:P23)</f>
        <v>0</v>
      </c>
      <c r="W23" s="12" t="s">
        <v>9</v>
      </c>
      <c r="X23" s="149">
        <v>293</v>
      </c>
      <c r="Y23" s="100" t="s">
        <v>893</v>
      </c>
      <c r="Z23" s="14">
        <v>8.1</v>
      </c>
      <c r="AA23" s="14">
        <v>7.1</v>
      </c>
      <c r="AB23" s="13">
        <f t="shared" ref="AB23:AB24" si="19">SUM(Z23:AA23)</f>
        <v>15.2</v>
      </c>
    </row>
    <row r="24" spans="1:28" ht="16.5" thickBot="1">
      <c r="A24" s="12" t="s">
        <v>9</v>
      </c>
      <c r="B24" s="149">
        <v>282</v>
      </c>
      <c r="C24" s="100" t="s">
        <v>777</v>
      </c>
      <c r="D24" s="14">
        <v>6.8</v>
      </c>
      <c r="E24" s="14">
        <v>6.4</v>
      </c>
      <c r="F24" s="13">
        <f t="shared" si="17"/>
        <v>13.2</v>
      </c>
      <c r="G24" t="b">
        <f t="shared" si="10"/>
        <v>0</v>
      </c>
      <c r="H24">
        <f t="shared" si="11"/>
        <v>8.15</v>
      </c>
      <c r="I24" t="b">
        <f t="shared" si="12"/>
        <v>0</v>
      </c>
      <c r="J24">
        <f t="shared" si="13"/>
        <v>6.6</v>
      </c>
      <c r="L24" s="12" t="s">
        <v>9</v>
      </c>
      <c r="M24" s="149">
        <v>288</v>
      </c>
      <c r="N24" s="100" t="s">
        <v>850</v>
      </c>
      <c r="O24" s="14">
        <v>8.15</v>
      </c>
      <c r="P24" s="14">
        <v>6.6</v>
      </c>
      <c r="Q24" s="13">
        <f t="shared" si="18"/>
        <v>14.75</v>
      </c>
      <c r="W24" s="12" t="s">
        <v>9</v>
      </c>
      <c r="X24" s="149">
        <v>294</v>
      </c>
      <c r="Y24" s="100" t="s">
        <v>894</v>
      </c>
      <c r="Z24" s="14">
        <v>8.25</v>
      </c>
      <c r="AA24" s="14">
        <v>6.55</v>
      </c>
      <c r="AB24" s="13">
        <f t="shared" si="19"/>
        <v>14.8</v>
      </c>
    </row>
    <row r="25" spans="1:28" ht="16.5" thickBot="1">
      <c r="A25" s="8"/>
      <c r="B25" s="8"/>
      <c r="C25" s="18" t="s">
        <v>10</v>
      </c>
      <c r="D25" s="19">
        <v>31.65</v>
      </c>
      <c r="E25" s="19">
        <v>28.65</v>
      </c>
      <c r="F25" s="20">
        <f>SUM(D25:E25)</f>
        <v>60.3</v>
      </c>
      <c r="G25">
        <f>COUNTIF(L19:L24,"M")</f>
        <v>3</v>
      </c>
      <c r="H25">
        <f>COUNTIF(L19:L24,"F")</f>
        <v>3</v>
      </c>
      <c r="I25">
        <f>COUNTIF(L19:L24,"M")</f>
        <v>3</v>
      </c>
      <c r="J25">
        <f>COUNTIF(L19:L24,"F")</f>
        <v>3</v>
      </c>
      <c r="L25" s="8"/>
      <c r="M25" s="8"/>
      <c r="N25" s="18" t="s">
        <v>10</v>
      </c>
      <c r="O25" s="19">
        <f>G26+H26</f>
        <v>32.5</v>
      </c>
      <c r="P25" s="19">
        <f>I26+J26</f>
        <v>28.599999999999998</v>
      </c>
      <c r="Q25" s="20">
        <f>SUM(O25:P25)</f>
        <v>61.099999999999994</v>
      </c>
      <c r="W25" s="8"/>
      <c r="X25" s="8"/>
      <c r="Y25" s="18" t="s">
        <v>10</v>
      </c>
      <c r="Z25" s="19">
        <v>33.4</v>
      </c>
      <c r="AA25" s="19">
        <v>29.8</v>
      </c>
      <c r="AB25" s="20">
        <f>SUM(Z25:AA25)</f>
        <v>63.2</v>
      </c>
    </row>
    <row r="26" spans="1:28">
      <c r="A26" s="8"/>
      <c r="B26" s="8"/>
      <c r="C26" s="94" t="s">
        <v>1302</v>
      </c>
      <c r="D26" s="64"/>
      <c r="E26" s="64"/>
      <c r="F26" s="105"/>
      <c r="G26">
        <f>IF(G25=2,SUM(G19:G24),IF(G25=3,SUM(G19:G24)-SMALL(G19:G24,1),IF(G25=4,SUM(G19:G24)-SMALL(G19:G24,1)-SMALL(G19:G24,2))))</f>
        <v>16.25</v>
      </c>
      <c r="H26">
        <f>IF(H25=2,SUM(H19:H24),IF(H25=3,SUM(H19:H24)-SMALL(H19:H24,1),IF(H25=4,SUM(H19:H24)-SMALL(H19:H24,1)-SMALL(H19:H24,2))))</f>
        <v>16.25</v>
      </c>
      <c r="I26">
        <f>IF(I25=2,SUM(I19:I24),IF(I25=3,SUM(I19:I24)-SMALL(I19:I24,1),IF(I25=4,SUM(I19:I24)-SMALL(I19:I24,1)-SMALL(I19:I24,2))))</f>
        <v>14.649999999999999</v>
      </c>
      <c r="J26">
        <f>IF(J25=2,SUM(J19:J24),IF(J25=3,SUM(J19:J24)-SMALL(J19:J24,1),IF(J25=4,SUM(J19:J24)-SMALL(J19:J24,1)-SMALL(J19:J24,2))))</f>
        <v>13.95</v>
      </c>
      <c r="N26" s="94" t="s">
        <v>1302</v>
      </c>
      <c r="Y26" s="94" t="s">
        <v>1302</v>
      </c>
    </row>
    <row r="27" spans="1:28">
      <c r="C27" s="70"/>
      <c r="Z27" s="64"/>
    </row>
  </sheetData>
  <mergeCells count="8">
    <mergeCell ref="L17:Q17"/>
    <mergeCell ref="W17:AB17"/>
    <mergeCell ref="A1:AB1"/>
    <mergeCell ref="A2:AB2"/>
    <mergeCell ref="L6:Q6"/>
    <mergeCell ref="L4:O4"/>
    <mergeCell ref="A6:F6"/>
    <mergeCell ref="A17:F17"/>
  </mergeCells>
  <phoneticPr fontId="21" type="noConversion"/>
  <conditionalFormatting sqref="AA7:AA11">
    <cfRule type="cellIs" dxfId="970" priority="1" operator="equal">
      <formula>3</formula>
    </cfRule>
    <cfRule type="cellIs" dxfId="969" priority="2" operator="equal">
      <formula>2</formula>
    </cfRule>
    <cfRule type="cellIs" dxfId="968" priority="3" operator="equal">
      <formula>1</formula>
    </cfRule>
  </conditionalFormatting>
  <pageMargins left="0.75" right="0.75" top="1" bottom="1" header="0.5" footer="0.5"/>
  <pageSetup paperSize="9" scale="70" orientation="landscape" horizontalDpi="4294967292" verticalDpi="4294967292"/>
  <colBreaks count="1" manualBreakCount="1">
    <brk id="34" max="1048575" man="1"/>
  </colBreaks>
  <ignoredErrors>
    <ignoredError sqref="AA7:AA11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BR38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4.875" customWidth="1"/>
    <col min="2" max="2" width="17.5" bestFit="1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16.5" bestFit="1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.125" customWidth="1"/>
    <col min="15" max="15" width="9.125" customWidth="1"/>
    <col min="16" max="16" width="7.5" bestFit="1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7.625" customWidth="1"/>
    <col min="22" max="22" width="5.125" customWidth="1"/>
    <col min="23" max="23" width="17.625" bestFit="1" customWidth="1"/>
    <col min="24" max="24" width="8.625" customWidth="1"/>
    <col min="25" max="25" width="5.375" customWidth="1"/>
    <col min="26" max="26" width="7.5" customWidth="1"/>
    <col min="27" max="27" width="6.125" style="50" customWidth="1"/>
    <col min="28" max="28" width="8.625" style="31" customWidth="1"/>
    <col min="29" max="29" width="6" style="6" customWidth="1"/>
  </cols>
  <sheetData>
    <row r="1" spans="1:70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70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"/>
      <c r="BJ2" s="2"/>
    </row>
    <row r="3" spans="1:70" ht="28.5" customHeight="1"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1"/>
      <c r="Z3" s="1"/>
      <c r="AA3" s="48"/>
      <c r="AB3" s="28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>
      <c r="E4" s="1"/>
      <c r="F4" s="1"/>
      <c r="G4" s="461" t="s">
        <v>113</v>
      </c>
      <c r="H4" s="474"/>
      <c r="I4" s="474"/>
      <c r="J4" s="475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1"/>
      <c r="Z4" s="1"/>
      <c r="AA4" s="48"/>
      <c r="AB4" s="28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6" spans="1:70" s="8" customFormat="1">
      <c r="A6" s="169" t="s">
        <v>1317</v>
      </c>
      <c r="B6" s="170"/>
      <c r="C6" s="170"/>
      <c r="D6" s="170"/>
      <c r="E6" s="119"/>
      <c r="F6" s="106"/>
      <c r="G6" s="274" t="s">
        <v>1318</v>
      </c>
      <c r="H6" s="173"/>
      <c r="I6" s="173"/>
      <c r="J6" s="173"/>
      <c r="K6" s="174"/>
      <c r="L6" s="106"/>
      <c r="M6" s="274" t="s">
        <v>1314</v>
      </c>
      <c r="N6" s="220"/>
      <c r="O6" s="220"/>
      <c r="P6" s="220"/>
      <c r="Q6" s="221"/>
      <c r="U6" s="34" t="s">
        <v>12</v>
      </c>
      <c r="V6" s="34" t="s">
        <v>503</v>
      </c>
      <c r="W6" s="35" t="s">
        <v>2</v>
      </c>
      <c r="X6" s="36" t="s">
        <v>6</v>
      </c>
      <c r="Y6" s="36" t="s">
        <v>14</v>
      </c>
      <c r="Z6" s="36" t="s">
        <v>7</v>
      </c>
      <c r="AA6" s="49" t="s">
        <v>15</v>
      </c>
      <c r="AB6" s="37" t="s">
        <v>5</v>
      </c>
      <c r="AC6" s="38" t="s">
        <v>16</v>
      </c>
    </row>
    <row r="7" spans="1:70">
      <c r="A7" s="145" t="s">
        <v>1</v>
      </c>
      <c r="B7" s="145" t="s">
        <v>2</v>
      </c>
      <c r="C7" s="145" t="s">
        <v>3</v>
      </c>
      <c r="D7" s="145" t="s">
        <v>4</v>
      </c>
      <c r="E7" s="145" t="s">
        <v>5</v>
      </c>
      <c r="F7" s="1"/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L7" s="1"/>
      <c r="M7" s="9" t="s">
        <v>1</v>
      </c>
      <c r="N7" s="9" t="s">
        <v>2</v>
      </c>
      <c r="O7" s="9" t="s">
        <v>3</v>
      </c>
      <c r="P7" s="9" t="s">
        <v>4</v>
      </c>
      <c r="Q7" s="9" t="s">
        <v>5</v>
      </c>
      <c r="U7" s="33" t="s">
        <v>135</v>
      </c>
      <c r="V7" s="149">
        <v>295</v>
      </c>
      <c r="W7" s="100" t="s">
        <v>39</v>
      </c>
      <c r="X7" s="13">
        <f>C8</f>
        <v>8.9499999999999993</v>
      </c>
      <c r="Y7" s="283">
        <f>SUMPRODUCT((X$7:X$14&gt;X7)/COUNTIF(X$7:X$14,X$7:X$14&amp;""))+1</f>
        <v>1</v>
      </c>
      <c r="Z7" s="13">
        <f>D8</f>
        <v>7</v>
      </c>
      <c r="AA7" s="283">
        <f>SUMPRODUCT((Z$7:Z$14&gt;Z7)/COUNTIF(Z$7:Z$14,Z$7:Z$14&amp;""))+1</f>
        <v>8</v>
      </c>
      <c r="AB7" s="29">
        <f>Table35121314243954[[#This Row],[Floor]]+Table35121314243954[[#This Row],[Vault]]</f>
        <v>15.95</v>
      </c>
      <c r="AC7" s="283">
        <f>SUMPRODUCT((AB$7:AB$14&gt;AB7)/COUNTIF(AB$7:AB$14,AB$7:AB$14&amp;""))+1</f>
        <v>3</v>
      </c>
    </row>
    <row r="8" spans="1:70">
      <c r="A8" s="149">
        <v>295</v>
      </c>
      <c r="B8" s="100" t="s">
        <v>39</v>
      </c>
      <c r="C8" s="13">
        <v>8.9499999999999993</v>
      </c>
      <c r="D8" s="13">
        <v>7</v>
      </c>
      <c r="E8" s="13">
        <f t="shared" ref="E8" si="0">SUM(C8,D8)</f>
        <v>15.95</v>
      </c>
      <c r="F8" s="1"/>
      <c r="G8" s="149">
        <v>296</v>
      </c>
      <c r="H8" s="108" t="s">
        <v>853</v>
      </c>
      <c r="I8" s="13">
        <v>8.25</v>
      </c>
      <c r="J8" s="13">
        <v>7.1</v>
      </c>
      <c r="K8" s="13">
        <f t="shared" ref="K8" si="1">SUM(I8,J8)</f>
        <v>15.35</v>
      </c>
      <c r="L8" s="1"/>
      <c r="M8" s="149">
        <v>297</v>
      </c>
      <c r="N8" s="93" t="s">
        <v>918</v>
      </c>
      <c r="O8" s="13">
        <v>8.3000000000000007</v>
      </c>
      <c r="P8" s="13">
        <v>8.1</v>
      </c>
      <c r="Q8" s="13">
        <f>SUM(O8,P8)</f>
        <v>16.399999999999999</v>
      </c>
      <c r="U8" s="33" t="s">
        <v>854</v>
      </c>
      <c r="V8" s="149">
        <v>296</v>
      </c>
      <c r="W8" s="108" t="s">
        <v>853</v>
      </c>
      <c r="X8" s="13">
        <f>I8</f>
        <v>8.25</v>
      </c>
      <c r="Y8" s="283">
        <f t="shared" ref="Y8:Y14" si="2">SUMPRODUCT((X$7:X$14&gt;X8)/COUNTIF(X$7:X$14,X$7:X$14&amp;""))+1</f>
        <v>4</v>
      </c>
      <c r="Z8" s="13">
        <f>J8</f>
        <v>7.1</v>
      </c>
      <c r="AA8" s="283">
        <f t="shared" ref="AA8:AA14" si="3">SUMPRODUCT((Z$7:Z$14&gt;Z8)/COUNTIF(Z$7:Z$14,Z$7:Z$14&amp;""))+1</f>
        <v>7</v>
      </c>
      <c r="AB8" s="29">
        <f>Table35121314243954[[#This Row],[Floor]]+Table35121314243954[[#This Row],[Vault]]</f>
        <v>15.35</v>
      </c>
      <c r="AC8" s="283">
        <f t="shared" ref="AC8:AC14" si="4">SUMPRODUCT((AB$7:AB$31&gt;AB8)/COUNTIF(AB$7:AB$31,AB$7:AB$31&amp;""))+1</f>
        <v>6</v>
      </c>
    </row>
    <row r="9" spans="1:70">
      <c r="A9" s="152"/>
      <c r="B9" s="184"/>
      <c r="C9" s="73"/>
      <c r="D9" s="73"/>
      <c r="E9" s="73"/>
      <c r="F9" s="1"/>
      <c r="G9" s="152"/>
      <c r="H9" s="107"/>
      <c r="I9" s="73"/>
      <c r="J9" s="73"/>
      <c r="K9" s="73"/>
      <c r="L9" s="1"/>
      <c r="M9" s="149">
        <v>298</v>
      </c>
      <c r="N9" s="93" t="s">
        <v>919</v>
      </c>
      <c r="O9" s="13">
        <v>7.95</v>
      </c>
      <c r="P9" s="13">
        <v>7.7</v>
      </c>
      <c r="Q9" s="13">
        <f t="shared" ref="Q9:Q10" si="5">SUM(O9,P9)</f>
        <v>15.65</v>
      </c>
      <c r="U9" s="33" t="s">
        <v>917</v>
      </c>
      <c r="V9" s="149">
        <v>297</v>
      </c>
      <c r="W9" s="93" t="s">
        <v>918</v>
      </c>
      <c r="X9" s="13">
        <f>O8</f>
        <v>8.3000000000000007</v>
      </c>
      <c r="Y9" s="283">
        <f t="shared" si="2"/>
        <v>3</v>
      </c>
      <c r="Z9" s="13">
        <f>P8</f>
        <v>8.1</v>
      </c>
      <c r="AA9" s="283">
        <f t="shared" si="3"/>
        <v>3</v>
      </c>
      <c r="AB9" s="29">
        <f>Table35121314243954[[#This Row],[Floor]]+Table35121314243954[[#This Row],[Vault]]</f>
        <v>16.399999999999999</v>
      </c>
      <c r="AC9" s="283">
        <f t="shared" si="4"/>
        <v>2</v>
      </c>
    </row>
    <row r="10" spans="1:70">
      <c r="A10" s="276" t="s">
        <v>1298</v>
      </c>
      <c r="B10" s="220"/>
      <c r="C10" s="220"/>
      <c r="D10" s="220"/>
      <c r="E10" s="221"/>
      <c r="F10" s="1"/>
      <c r="L10" s="113"/>
      <c r="M10" s="149">
        <v>299</v>
      </c>
      <c r="N10" s="93" t="s">
        <v>920</v>
      </c>
      <c r="O10" s="13">
        <v>8.6</v>
      </c>
      <c r="P10" s="13">
        <v>8.1999999999999993</v>
      </c>
      <c r="Q10" s="13">
        <f t="shared" si="5"/>
        <v>16.799999999999997</v>
      </c>
      <c r="U10" s="33" t="s">
        <v>917</v>
      </c>
      <c r="V10" s="149">
        <v>298</v>
      </c>
      <c r="W10" s="93" t="s">
        <v>919</v>
      </c>
      <c r="X10" s="13">
        <f t="shared" ref="X10:X11" si="6">O9</f>
        <v>7.95</v>
      </c>
      <c r="Y10" s="283">
        <f t="shared" si="2"/>
        <v>5</v>
      </c>
      <c r="Z10" s="13">
        <f t="shared" ref="Z10:Z11" si="7">P9</f>
        <v>7.7</v>
      </c>
      <c r="AA10" s="283">
        <f t="shared" si="3"/>
        <v>4</v>
      </c>
      <c r="AB10" s="29">
        <f>Table35121314243954[[#This Row],[Floor]]+Table35121314243954[[#This Row],[Vault]]</f>
        <v>15.65</v>
      </c>
      <c r="AC10" s="283">
        <f t="shared" si="4"/>
        <v>4</v>
      </c>
    </row>
    <row r="11" spans="1:70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1"/>
      <c r="L11" s="1"/>
      <c r="U11" s="33" t="s">
        <v>917</v>
      </c>
      <c r="V11" s="149">
        <v>299</v>
      </c>
      <c r="W11" s="93" t="s">
        <v>920</v>
      </c>
      <c r="X11" s="13">
        <f t="shared" si="6"/>
        <v>8.6</v>
      </c>
      <c r="Y11" s="283">
        <f t="shared" si="2"/>
        <v>2</v>
      </c>
      <c r="Z11" s="13">
        <f t="shared" si="7"/>
        <v>8.1999999999999993</v>
      </c>
      <c r="AA11" s="283">
        <f t="shared" si="3"/>
        <v>2</v>
      </c>
      <c r="AB11" s="29">
        <f>Table35121314243954[[#This Row],[Floor]]+Table35121314243954[[#This Row],[Vault]]</f>
        <v>16.799999999999997</v>
      </c>
      <c r="AC11" s="283">
        <f t="shared" si="4"/>
        <v>1</v>
      </c>
    </row>
    <row r="12" spans="1:70">
      <c r="A12" s="151">
        <v>300</v>
      </c>
      <c r="B12" s="93" t="s">
        <v>398</v>
      </c>
      <c r="C12" s="13">
        <v>0</v>
      </c>
      <c r="D12" s="13">
        <v>8.5</v>
      </c>
      <c r="E12" s="13">
        <f>SUM(C12,D12)</f>
        <v>8.5</v>
      </c>
      <c r="F12" s="1"/>
      <c r="L12" s="1"/>
      <c r="U12" s="33" t="s">
        <v>391</v>
      </c>
      <c r="V12" s="151">
        <v>300</v>
      </c>
      <c r="W12" s="93" t="s">
        <v>398</v>
      </c>
      <c r="X12" s="13">
        <f>C12</f>
        <v>0</v>
      </c>
      <c r="Y12" s="283">
        <f t="shared" si="2"/>
        <v>7</v>
      </c>
      <c r="Z12" s="13">
        <f>D12</f>
        <v>8.5</v>
      </c>
      <c r="AA12" s="283">
        <f t="shared" si="3"/>
        <v>1</v>
      </c>
      <c r="AB12" s="29">
        <f>Table35121314243954[[#This Row],[Floor]]+Table35121314243954[[#This Row],[Vault]]</f>
        <v>8.5</v>
      </c>
      <c r="AC12" s="283">
        <f t="shared" si="4"/>
        <v>8</v>
      </c>
    </row>
    <row r="13" spans="1:70">
      <c r="A13" s="152"/>
      <c r="B13" s="107"/>
      <c r="C13" s="73"/>
      <c r="D13" s="73"/>
      <c r="E13" s="73"/>
      <c r="F13" s="106"/>
      <c r="G13" s="152"/>
      <c r="H13" s="107"/>
      <c r="I13" s="73"/>
      <c r="J13" s="73"/>
      <c r="K13" s="68"/>
      <c r="L13" s="106"/>
      <c r="U13" s="290" t="s">
        <v>706</v>
      </c>
      <c r="V13" s="302">
        <v>370</v>
      </c>
      <c r="W13" s="303" t="s">
        <v>730</v>
      </c>
      <c r="X13" s="296">
        <f>'BEG 13&amp;U MX'!D8</f>
        <v>8.25</v>
      </c>
      <c r="Y13" s="283">
        <f t="shared" si="2"/>
        <v>4</v>
      </c>
      <c r="Z13" s="296">
        <f>'BEG 13&amp;U MX'!E8</f>
        <v>7.2</v>
      </c>
      <c r="AA13" s="283">
        <f t="shared" si="3"/>
        <v>6</v>
      </c>
      <c r="AB13" s="297">
        <f>Table35121314243954[[#This Row],[Floor]]+Table35121314243954[[#This Row],[Vault]]</f>
        <v>15.45</v>
      </c>
      <c r="AC13" s="283">
        <f t="shared" si="4"/>
        <v>5</v>
      </c>
    </row>
    <row r="14" spans="1:70">
      <c r="A14" s="1"/>
      <c r="B14" s="104"/>
      <c r="C14" s="64"/>
      <c r="D14" s="64"/>
      <c r="E14" s="105"/>
      <c r="F14" s="106"/>
      <c r="L14" s="106"/>
      <c r="M14" s="1"/>
      <c r="Q14" s="105"/>
      <c r="U14" s="287" t="s">
        <v>706</v>
      </c>
      <c r="V14" s="302">
        <v>371</v>
      </c>
      <c r="W14" s="303" t="s">
        <v>282</v>
      </c>
      <c r="X14" s="295">
        <f>'BEG 13&amp;U MX'!D9</f>
        <v>7.6</v>
      </c>
      <c r="Y14" s="283">
        <f t="shared" si="2"/>
        <v>6</v>
      </c>
      <c r="Z14" s="295">
        <f>'BEG 13&amp;U MX'!E9</f>
        <v>7.3</v>
      </c>
      <c r="AA14" s="283">
        <f t="shared" si="3"/>
        <v>5</v>
      </c>
      <c r="AB14" s="297">
        <f>Table35121314243954[[#This Row],[Floor]]+Table35121314243954[[#This Row],[Vault]]</f>
        <v>14.899999999999999</v>
      </c>
      <c r="AC14" s="283">
        <f t="shared" si="4"/>
        <v>7</v>
      </c>
    </row>
    <row r="15" spans="1:70">
      <c r="A15" s="1"/>
      <c r="B15" s="121"/>
      <c r="C15" s="1"/>
      <c r="D15" s="104"/>
      <c r="E15" s="115"/>
      <c r="F15" s="1"/>
      <c r="L15" s="1"/>
      <c r="M15" s="1"/>
      <c r="Q15" s="115"/>
      <c r="AA15"/>
      <c r="AB15"/>
      <c r="AC15"/>
    </row>
    <row r="16" spans="1:70">
      <c r="A16" s="1"/>
      <c r="B16" s="1"/>
      <c r="C16" s="1"/>
      <c r="D16" s="1"/>
      <c r="E16" s="1"/>
    </row>
    <row r="17" spans="1:22">
      <c r="N17" s="45"/>
      <c r="O17" s="47"/>
      <c r="P17" s="40"/>
      <c r="Q17" s="1"/>
      <c r="R17" s="118"/>
      <c r="S17" s="1"/>
      <c r="T17" s="1"/>
      <c r="U17" s="1"/>
      <c r="V17" s="264"/>
    </row>
    <row r="18" spans="1:22">
      <c r="B18" s="1"/>
      <c r="C18" s="1"/>
      <c r="D18" s="1"/>
      <c r="E18" s="1"/>
      <c r="N18" s="45"/>
      <c r="O18" s="47"/>
      <c r="P18" s="40"/>
    </row>
    <row r="19" spans="1:22">
      <c r="A19" s="1"/>
      <c r="B19" s="1"/>
      <c r="C19" s="1"/>
      <c r="D19" s="1"/>
      <c r="E19" s="1"/>
      <c r="N19" s="45"/>
      <c r="O19" s="46"/>
      <c r="P19" s="40"/>
    </row>
    <row r="20" spans="1:22">
      <c r="A20" s="1"/>
      <c r="B20" s="1"/>
      <c r="C20" s="1"/>
      <c r="D20" s="1"/>
      <c r="E20" s="1"/>
      <c r="N20" s="45"/>
      <c r="O20" s="46"/>
      <c r="P20" s="40"/>
    </row>
    <row r="21" spans="1:22">
      <c r="A21" s="102"/>
      <c r="B21" s="110"/>
      <c r="C21" s="73"/>
      <c r="D21" s="73"/>
      <c r="E21" s="73"/>
      <c r="N21" s="45"/>
      <c r="O21" s="46"/>
      <c r="P21" s="40"/>
    </row>
    <row r="22" spans="1:22">
      <c r="N22" s="45"/>
      <c r="O22" s="46"/>
      <c r="P22" s="40"/>
    </row>
    <row r="25" spans="1:22">
      <c r="Q25" s="41"/>
    </row>
    <row r="26" spans="1:22">
      <c r="Q26" s="41"/>
    </row>
    <row r="27" spans="1:22">
      <c r="Q27" s="41"/>
    </row>
    <row r="28" spans="1:22">
      <c r="B28" s="24"/>
      <c r="D28" s="25"/>
      <c r="E28" s="26"/>
      <c r="Q28" s="41"/>
    </row>
    <row r="29" spans="1:22">
      <c r="Q29" s="41"/>
    </row>
    <row r="34" spans="18:20">
      <c r="R34" s="41"/>
      <c r="S34" s="41"/>
      <c r="T34" s="41"/>
    </row>
    <row r="35" spans="18:20">
      <c r="R35" s="41"/>
      <c r="S35" s="41"/>
      <c r="T35" s="41"/>
    </row>
    <row r="36" spans="18:20">
      <c r="R36" s="41"/>
      <c r="S36" s="41"/>
      <c r="T36" s="41"/>
    </row>
    <row r="37" spans="18:20">
      <c r="R37" s="41"/>
      <c r="S37" s="41"/>
      <c r="T37" s="41"/>
    </row>
    <row r="38" spans="18:20">
      <c r="R38" s="41"/>
      <c r="S38" s="41"/>
      <c r="T38" s="41"/>
    </row>
  </sheetData>
  <mergeCells count="3">
    <mergeCell ref="A1:AC1"/>
    <mergeCell ref="A2:AC2"/>
    <mergeCell ref="G4:J4"/>
  </mergeCells>
  <phoneticPr fontId="21" type="noConversion"/>
  <conditionalFormatting sqref="Y7:Y14">
    <cfRule type="cellIs" dxfId="964" priority="7" operator="equal">
      <formula>3</formula>
    </cfRule>
    <cfRule type="cellIs" dxfId="963" priority="8" operator="equal">
      <formula>2</formula>
    </cfRule>
    <cfRule type="cellIs" dxfId="962" priority="9" operator="equal">
      <formula>1</formula>
    </cfRule>
  </conditionalFormatting>
  <conditionalFormatting sqref="AA7:AA14">
    <cfRule type="cellIs" dxfId="961" priority="4" operator="equal">
      <formula>3</formula>
    </cfRule>
    <cfRule type="cellIs" dxfId="960" priority="5" operator="equal">
      <formula>2</formula>
    </cfRule>
    <cfRule type="cellIs" dxfId="959" priority="6" operator="equal">
      <formula>1</formula>
    </cfRule>
  </conditionalFormatting>
  <conditionalFormatting sqref="AC7:AC14">
    <cfRule type="cellIs" dxfId="958" priority="1" operator="equal">
      <formula>3</formula>
    </cfRule>
    <cfRule type="cellIs" dxfId="957" priority="2" operator="equal">
      <formula>2</formula>
    </cfRule>
    <cfRule type="cellIs" dxfId="956" priority="3" operator="equal">
      <formula>1</formula>
    </cfRule>
  </conditionalFormatting>
  <pageMargins left="0.75" right="0.75" top="1" bottom="1" header="0.5" footer="0.5"/>
  <pageSetup paperSize="9" scale="56" orientation="landscape" horizontalDpi="4294967292" verticalDpi="4294967292"/>
  <colBreaks count="1" manualBreakCount="1">
    <brk id="29" max="1048575" man="1"/>
  </colBreaks>
  <ignoredErrors>
    <ignoredError sqref="Z7:Z14" formula="1"/>
    <ignoredError sqref="AC8:AC14" calculatedColumn="1"/>
  </ignoredErrors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BI80"/>
  <sheetViews>
    <sheetView zoomScale="80" zoomScaleNormal="80" zoomScalePageLayoutView="80" workbookViewId="0">
      <selection activeCell="A3" sqref="A3"/>
    </sheetView>
  </sheetViews>
  <sheetFormatPr defaultColWidth="8.875" defaultRowHeight="15.75"/>
  <cols>
    <col min="1" max="1" width="4.875" customWidth="1"/>
    <col min="2" max="2" width="19.125" customWidth="1"/>
    <col min="3" max="4" width="7.5" bestFit="1" customWidth="1"/>
    <col min="5" max="5" width="7.375" bestFit="1" customWidth="1"/>
    <col min="6" max="6" width="0.5" customWidth="1"/>
    <col min="7" max="7" width="4.625" bestFit="1" customWidth="1"/>
    <col min="8" max="8" width="22" customWidth="1"/>
    <col min="9" max="10" width="7.5" bestFit="1" customWidth="1"/>
    <col min="11" max="11" width="7.375" bestFit="1" customWidth="1"/>
    <col min="12" max="12" width="0.5" customWidth="1"/>
    <col min="13" max="13" width="4.625" bestFit="1" customWidth="1"/>
    <col min="14" max="14" width="22" customWidth="1"/>
    <col min="15" max="15" width="8.625" customWidth="1"/>
    <col min="16" max="16" width="9.625" customWidth="1"/>
    <col min="17" max="17" width="7.375" bestFit="1" customWidth="1"/>
    <col min="18" max="18" width="0.375" customWidth="1"/>
    <col min="19" max="19" width="0.5" customWidth="1"/>
    <col min="20" max="20" width="1.875" bestFit="1" customWidth="1"/>
    <col min="21" max="21" width="8" customWidth="1"/>
    <col min="22" max="22" width="6.625" customWidth="1"/>
    <col min="23" max="23" width="23.125" bestFit="1" customWidth="1"/>
    <col min="24" max="24" width="8.375" customWidth="1"/>
    <col min="25" max="25" width="5" style="53" customWidth="1"/>
    <col min="26" max="26" width="9.375" customWidth="1"/>
    <col min="27" max="27" width="4.5" style="57" customWidth="1"/>
    <col min="28" max="28" width="9.375" style="39" customWidth="1"/>
    <col min="29" max="29" width="5.5" style="60" customWidth="1"/>
  </cols>
  <sheetData>
    <row r="1" spans="1:61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"/>
      <c r="BI2" s="2"/>
    </row>
    <row r="3" spans="1:61" ht="23.25">
      <c r="A3" s="8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64"/>
      <c r="W3" s="1"/>
      <c r="X3" s="1"/>
      <c r="Y3" s="51"/>
      <c r="Z3" s="1"/>
      <c r="AA3" s="55"/>
      <c r="AB3" s="58"/>
      <c r="AC3" s="5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21">
      <c r="E4" s="1"/>
      <c r="F4" s="1"/>
      <c r="G4" s="464" t="s">
        <v>114</v>
      </c>
      <c r="H4" s="465"/>
      <c r="I4" s="466"/>
      <c r="M4" s="1"/>
      <c r="N4" s="1"/>
      <c r="O4" s="1"/>
      <c r="P4" s="1"/>
      <c r="Q4" s="1"/>
      <c r="R4" s="1"/>
      <c r="S4" s="1"/>
      <c r="T4" s="1"/>
      <c r="U4" s="1"/>
      <c r="V4" s="264"/>
      <c r="W4" s="1"/>
      <c r="X4" s="1"/>
      <c r="Y4" s="51"/>
      <c r="Z4" s="1"/>
      <c r="AA4" s="55"/>
      <c r="AB4" s="58"/>
      <c r="AC4" s="5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>
      <c r="M5" s="8"/>
    </row>
    <row r="6" spans="1:61" s="8" customFormat="1">
      <c r="A6" s="285" t="s">
        <v>230</v>
      </c>
      <c r="B6" s="71"/>
      <c r="C6" s="71"/>
      <c r="D6" s="71"/>
      <c r="E6" s="72"/>
      <c r="G6" s="285" t="s">
        <v>279</v>
      </c>
      <c r="H6" s="130"/>
      <c r="I6" s="130"/>
      <c r="J6" s="130"/>
      <c r="K6" s="131"/>
      <c r="L6" s="170"/>
      <c r="M6" s="306" t="s">
        <v>304</v>
      </c>
      <c r="N6" s="220"/>
      <c r="O6" s="220"/>
      <c r="P6" s="220"/>
      <c r="Q6" s="221"/>
      <c r="U6" s="36" t="s">
        <v>23</v>
      </c>
      <c r="V6" s="36" t="s">
        <v>1353</v>
      </c>
      <c r="W6" s="36" t="s">
        <v>24</v>
      </c>
      <c r="X6" s="36" t="s">
        <v>25</v>
      </c>
      <c r="Y6" s="52" t="s">
        <v>26</v>
      </c>
      <c r="Z6" s="36" t="s">
        <v>27</v>
      </c>
      <c r="AA6" s="56" t="s">
        <v>28</v>
      </c>
      <c r="AB6" s="36" t="s">
        <v>29</v>
      </c>
      <c r="AC6" s="52" t="s">
        <v>30</v>
      </c>
    </row>
    <row r="7" spans="1:6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M7" s="145" t="s">
        <v>1</v>
      </c>
      <c r="N7" s="145" t="s">
        <v>2</v>
      </c>
      <c r="O7" s="145" t="s">
        <v>3</v>
      </c>
      <c r="P7" s="145" t="s">
        <v>4</v>
      </c>
      <c r="Q7" s="145" t="s">
        <v>5</v>
      </c>
      <c r="U7" s="406" t="s">
        <v>626</v>
      </c>
      <c r="V7" s="396">
        <v>362</v>
      </c>
      <c r="W7" s="397" t="s">
        <v>639</v>
      </c>
      <c r="X7" s="401">
        <f>C45</f>
        <v>0</v>
      </c>
      <c r="Y7" s="402">
        <f>SUMPRODUCT((X$7:X$65&gt;X7)/COUNTIF(X$7:X$65,X$7:X$65&amp;""))+1</f>
        <v>27.999999999999996</v>
      </c>
      <c r="Z7" s="401">
        <f>D45</f>
        <v>0</v>
      </c>
      <c r="AA7" s="402">
        <f>SUMPRODUCT((Z$7:Z$65&gt;Z7)/COUNTIF(Z$7:Z$65,Z$7:Z$65&amp;""))+1</f>
        <v>20</v>
      </c>
      <c r="AB7" s="403">
        <f>Table3515505[[#This Row],[Floor4]]+Table3515505[[#This Row],[Vault6]]</f>
        <v>0</v>
      </c>
      <c r="AC7" s="402">
        <f>SUMPRODUCT((AB$7:AB$65&gt;AB7)/COUNTIF(AB$7:AB$65,AB$7:AB$65&amp;""))+1</f>
        <v>40</v>
      </c>
    </row>
    <row r="8" spans="1:61">
      <c r="A8" s="149">
        <v>301</v>
      </c>
      <c r="B8" s="93" t="s">
        <v>233</v>
      </c>
      <c r="C8" s="13">
        <v>8.6</v>
      </c>
      <c r="D8" s="13">
        <v>6.9</v>
      </c>
      <c r="E8" s="13">
        <f>SUM(C8,D8)</f>
        <v>15.5</v>
      </c>
      <c r="G8" s="149">
        <v>307</v>
      </c>
      <c r="H8" s="93" t="s">
        <v>288</v>
      </c>
      <c r="I8" s="13">
        <v>8.4499999999999993</v>
      </c>
      <c r="J8" s="13">
        <v>7.2</v>
      </c>
      <c r="K8" s="13">
        <f>SUM(I8,J8)</f>
        <v>15.649999999999999</v>
      </c>
      <c r="M8" s="149">
        <v>319</v>
      </c>
      <c r="N8" s="100" t="s">
        <v>778</v>
      </c>
      <c r="O8" s="13">
        <v>8.9</v>
      </c>
      <c r="P8" s="13">
        <v>7.3</v>
      </c>
      <c r="Q8" s="13">
        <f>SUM(O8,P8)</f>
        <v>16.2</v>
      </c>
      <c r="U8" s="406" t="s">
        <v>626</v>
      </c>
      <c r="V8" s="396">
        <v>363</v>
      </c>
      <c r="W8" s="397" t="s">
        <v>640</v>
      </c>
      <c r="X8" s="401">
        <f t="shared" ref="X8:X9" si="0">C46</f>
        <v>0</v>
      </c>
      <c r="Y8" s="402">
        <f t="shared" ref="Y8:Y65" si="1">SUMPRODUCT((X$7:X$65&gt;X8)/COUNTIF(X$7:X$65,X$7:X$65&amp;""))+1</f>
        <v>27.999999999999996</v>
      </c>
      <c r="Z8" s="401">
        <f>D46</f>
        <v>0</v>
      </c>
      <c r="AA8" s="402">
        <f t="shared" ref="AA8:AA65" si="2">SUMPRODUCT((Z$7:Z$65&gt;Z8)/COUNTIF(Z$7:Z$65,Z$7:Z$65&amp;""))+1</f>
        <v>20</v>
      </c>
      <c r="AB8" s="403">
        <f>Table3515505[[#This Row],[Floor4]]+Table3515505[[#This Row],[Vault6]]</f>
        <v>0</v>
      </c>
      <c r="AC8" s="402">
        <f t="shared" ref="AC8:AC65" si="3">SUMPRODUCT((AB$7:AB$65&gt;AB8)/COUNTIF(AB$7:AB$65,AB$7:AB$65&amp;""))+1</f>
        <v>40</v>
      </c>
    </row>
    <row r="9" spans="1:61">
      <c r="A9" s="149">
        <v>302</v>
      </c>
      <c r="B9" s="93" t="s">
        <v>231</v>
      </c>
      <c r="C9" s="13">
        <v>9.4499999999999993</v>
      </c>
      <c r="D9" s="13">
        <v>7.8</v>
      </c>
      <c r="E9" s="13">
        <f t="shared" ref="E9:E13" si="4">SUM(C9,D9)</f>
        <v>17.25</v>
      </c>
      <c r="G9" s="149">
        <v>308</v>
      </c>
      <c r="H9" s="93" t="s">
        <v>289</v>
      </c>
      <c r="I9" s="13">
        <v>8.8000000000000007</v>
      </c>
      <c r="J9" s="13">
        <v>7.7</v>
      </c>
      <c r="K9" s="13">
        <f t="shared" ref="K9:K13" si="5">SUM(I9,J9)</f>
        <v>16.5</v>
      </c>
      <c r="M9" s="149">
        <v>320</v>
      </c>
      <c r="N9" s="100" t="s">
        <v>779</v>
      </c>
      <c r="O9" s="13">
        <v>8.35</v>
      </c>
      <c r="P9" s="13">
        <v>7.6</v>
      </c>
      <c r="Q9" s="13">
        <f t="shared" ref="Q9:Q13" si="6">SUM(O9,P9)</f>
        <v>15.95</v>
      </c>
      <c r="U9" s="16" t="s">
        <v>626</v>
      </c>
      <c r="V9" s="149">
        <v>364</v>
      </c>
      <c r="W9" s="93" t="s">
        <v>641</v>
      </c>
      <c r="X9" s="14">
        <f t="shared" si="0"/>
        <v>8.9499999999999993</v>
      </c>
      <c r="Y9" s="283">
        <f t="shared" si="1"/>
        <v>8</v>
      </c>
      <c r="Z9" s="14">
        <f>D47</f>
        <v>7.2</v>
      </c>
      <c r="AA9" s="283">
        <f t="shared" si="2"/>
        <v>12</v>
      </c>
      <c r="AB9" s="69">
        <f>Table3515505[[#This Row],[Floor4]]+Table3515505[[#This Row],[Vault6]]</f>
        <v>16.149999999999999</v>
      </c>
      <c r="AC9" s="283">
        <f t="shared" si="3"/>
        <v>19</v>
      </c>
    </row>
    <row r="10" spans="1:61">
      <c r="A10" s="149">
        <v>303</v>
      </c>
      <c r="B10" s="93" t="s">
        <v>239</v>
      </c>
      <c r="C10" s="13">
        <v>9.3000000000000007</v>
      </c>
      <c r="D10" s="13">
        <v>7.7</v>
      </c>
      <c r="E10" s="13">
        <f t="shared" si="4"/>
        <v>17</v>
      </c>
      <c r="G10" s="149">
        <v>309</v>
      </c>
      <c r="H10" s="93" t="s">
        <v>287</v>
      </c>
      <c r="I10" s="13">
        <v>8.85</v>
      </c>
      <c r="J10" s="13">
        <v>7.6</v>
      </c>
      <c r="K10" s="13">
        <f t="shared" si="5"/>
        <v>16.45</v>
      </c>
      <c r="M10" s="396">
        <v>321</v>
      </c>
      <c r="N10" s="436" t="s">
        <v>780</v>
      </c>
      <c r="O10" s="398">
        <v>0</v>
      </c>
      <c r="P10" s="398">
        <v>0</v>
      </c>
      <c r="Q10" s="398">
        <f t="shared" si="6"/>
        <v>0</v>
      </c>
      <c r="U10" s="406" t="s">
        <v>234</v>
      </c>
      <c r="V10" s="396">
        <v>361</v>
      </c>
      <c r="W10" s="406" t="s">
        <v>657</v>
      </c>
      <c r="X10" s="401">
        <f>C41</f>
        <v>0</v>
      </c>
      <c r="Y10" s="402">
        <f t="shared" si="1"/>
        <v>27.999999999999996</v>
      </c>
      <c r="Z10" s="401">
        <f>D41</f>
        <v>0</v>
      </c>
      <c r="AA10" s="402">
        <f t="shared" si="2"/>
        <v>20</v>
      </c>
      <c r="AB10" s="403">
        <f>Table3515505[[#This Row],[Floor4]]+Table3515505[[#This Row],[Vault6]]</f>
        <v>0</v>
      </c>
      <c r="AC10" s="402">
        <f t="shared" si="3"/>
        <v>40</v>
      </c>
    </row>
    <row r="11" spans="1:61">
      <c r="A11" s="149">
        <v>304</v>
      </c>
      <c r="B11" s="93" t="s">
        <v>236</v>
      </c>
      <c r="C11" s="13">
        <v>9.3000000000000007</v>
      </c>
      <c r="D11" s="13">
        <v>7.6</v>
      </c>
      <c r="E11" s="13">
        <f t="shared" si="4"/>
        <v>16.899999999999999</v>
      </c>
      <c r="G11" s="149">
        <v>310</v>
      </c>
      <c r="H11" s="93" t="s">
        <v>726</v>
      </c>
      <c r="I11" s="13">
        <v>8.35</v>
      </c>
      <c r="J11" s="13">
        <v>7.4</v>
      </c>
      <c r="K11" s="13">
        <f t="shared" si="5"/>
        <v>15.75</v>
      </c>
      <c r="M11" s="149">
        <v>322</v>
      </c>
      <c r="N11" s="93" t="s">
        <v>782</v>
      </c>
      <c r="O11" s="13">
        <v>8.65</v>
      </c>
      <c r="P11" s="13">
        <v>7.7</v>
      </c>
      <c r="Q11" s="13">
        <f t="shared" si="6"/>
        <v>16.350000000000001</v>
      </c>
      <c r="U11" s="16" t="s">
        <v>234</v>
      </c>
      <c r="V11" s="149">
        <v>301</v>
      </c>
      <c r="W11" s="93" t="s">
        <v>233</v>
      </c>
      <c r="X11" s="14">
        <f>C8</f>
        <v>8.6</v>
      </c>
      <c r="Y11" s="283">
        <f t="shared" si="1"/>
        <v>15.000000000000002</v>
      </c>
      <c r="Z11" s="14">
        <f>D8</f>
        <v>6.9</v>
      </c>
      <c r="AA11" s="283">
        <f t="shared" si="2"/>
        <v>14.999999999999998</v>
      </c>
      <c r="AB11" s="69">
        <f>Table3515505[[#This Row],[Floor4]]+Table3515505[[#This Row],[Vault6]]</f>
        <v>15.5</v>
      </c>
      <c r="AC11" s="283">
        <f t="shared" si="3"/>
        <v>29</v>
      </c>
    </row>
    <row r="12" spans="1:61">
      <c r="A12" s="149">
        <v>305</v>
      </c>
      <c r="B12" s="93" t="s">
        <v>238</v>
      </c>
      <c r="C12" s="13">
        <v>9.15</v>
      </c>
      <c r="D12" s="13">
        <v>7.5</v>
      </c>
      <c r="E12" s="13">
        <f t="shared" si="4"/>
        <v>16.649999999999999</v>
      </c>
      <c r="G12" s="149">
        <v>311</v>
      </c>
      <c r="H12" s="93" t="s">
        <v>727</v>
      </c>
      <c r="I12" s="13">
        <v>8.5</v>
      </c>
      <c r="J12" s="13">
        <v>7.3</v>
      </c>
      <c r="K12" s="13">
        <f t="shared" si="5"/>
        <v>15.8</v>
      </c>
      <c r="M12" s="149">
        <v>323</v>
      </c>
      <c r="N12" s="93" t="s">
        <v>305</v>
      </c>
      <c r="O12" s="13">
        <v>8.1999999999999993</v>
      </c>
      <c r="P12" s="13">
        <v>6.5</v>
      </c>
      <c r="Q12" s="13">
        <f t="shared" si="6"/>
        <v>14.7</v>
      </c>
      <c r="U12" s="16" t="s">
        <v>234</v>
      </c>
      <c r="V12" s="149">
        <v>302</v>
      </c>
      <c r="W12" s="93" t="s">
        <v>231</v>
      </c>
      <c r="X12" s="14">
        <f t="shared" ref="X12:X15" si="7">C9</f>
        <v>9.4499999999999993</v>
      </c>
      <c r="Y12" s="283">
        <f t="shared" si="1"/>
        <v>2</v>
      </c>
      <c r="Z12" s="14">
        <f t="shared" ref="Z12:Z16" si="8">D9</f>
        <v>7.8</v>
      </c>
      <c r="AA12" s="283">
        <f t="shared" si="2"/>
        <v>6</v>
      </c>
      <c r="AB12" s="69">
        <f>Table3515505[[#This Row],[Floor4]]+Table3515505[[#This Row],[Vault6]]</f>
        <v>17.25</v>
      </c>
      <c r="AC12" s="283">
        <f t="shared" si="3"/>
        <v>1</v>
      </c>
    </row>
    <row r="13" spans="1:61" ht="16.5" thickBot="1">
      <c r="A13" s="149">
        <v>306</v>
      </c>
      <c r="B13" s="100" t="s">
        <v>237</v>
      </c>
      <c r="C13" s="13">
        <v>9.4499999999999993</v>
      </c>
      <c r="D13" s="13">
        <v>7.6</v>
      </c>
      <c r="E13" s="13">
        <f t="shared" si="4"/>
        <v>17.049999999999997</v>
      </c>
      <c r="F13" s="8"/>
      <c r="G13" s="149">
        <v>312</v>
      </c>
      <c r="H13" s="97"/>
      <c r="I13" s="13">
        <v>0</v>
      </c>
      <c r="J13" s="13">
        <v>0</v>
      </c>
      <c r="K13" s="13">
        <f t="shared" si="5"/>
        <v>0</v>
      </c>
      <c r="L13" s="8"/>
      <c r="M13" s="149">
        <v>324</v>
      </c>
      <c r="N13" s="93" t="s">
        <v>781</v>
      </c>
      <c r="O13" s="13">
        <v>0</v>
      </c>
      <c r="P13" s="13">
        <v>0</v>
      </c>
      <c r="Q13" s="13">
        <f t="shared" si="6"/>
        <v>0</v>
      </c>
      <c r="U13" s="16" t="s">
        <v>234</v>
      </c>
      <c r="V13" s="149">
        <v>303</v>
      </c>
      <c r="W13" s="93" t="s">
        <v>239</v>
      </c>
      <c r="X13" s="14">
        <f t="shared" si="7"/>
        <v>9.3000000000000007</v>
      </c>
      <c r="Y13" s="283">
        <f t="shared" si="1"/>
        <v>4</v>
      </c>
      <c r="Z13" s="14">
        <f t="shared" si="8"/>
        <v>7.7</v>
      </c>
      <c r="AA13" s="283">
        <f t="shared" si="2"/>
        <v>6.9999999999999991</v>
      </c>
      <c r="AB13" s="69">
        <f>Table3515505[[#This Row],[Floor4]]+Table3515505[[#This Row],[Vault6]]</f>
        <v>17</v>
      </c>
      <c r="AC13" s="283">
        <f t="shared" si="3"/>
        <v>5</v>
      </c>
    </row>
    <row r="14" spans="1:61" ht="16.5" thickBot="1">
      <c r="B14" s="25" t="s">
        <v>10</v>
      </c>
      <c r="C14" s="19">
        <f>SUM(C8:C13)-SMALL(C8:C13,1)-SMALL(C8:C13,2)</f>
        <v>37.5</v>
      </c>
      <c r="D14" s="19">
        <f>SUM(D8:D13)-SMALL(D8:D13,1)-SMALL(D8:D13,2)</f>
        <v>30.700000000000003</v>
      </c>
      <c r="E14" s="20">
        <f>SUM(C14:D14)</f>
        <v>68.2</v>
      </c>
      <c r="F14" s="8"/>
      <c r="H14" s="25" t="s">
        <v>10</v>
      </c>
      <c r="I14" s="19">
        <f>SUM(I8:I13)-SMALL(I8:I13,1)-SMALL(I8:I13,2)</f>
        <v>34.6</v>
      </c>
      <c r="J14" s="19">
        <f>SUM(J8:J13)-SMALL(J8:J13,1)-SMALL(J8:J13,2)</f>
        <v>29.999999999999996</v>
      </c>
      <c r="K14" s="20">
        <f>SUM(I14:J14)</f>
        <v>64.599999999999994</v>
      </c>
      <c r="L14" s="8"/>
      <c r="N14" s="25" t="s">
        <v>10</v>
      </c>
      <c r="O14" s="19">
        <f>SUM(O8:O13)-SMALL(O8:O13,1)-SMALL(O8:O13,2)</f>
        <v>34.099999999999994</v>
      </c>
      <c r="P14" s="19">
        <f>SUM(P8:P13)-SMALL(P8:P13,1)-SMALL(P8:P13,2)</f>
        <v>29.099999999999998</v>
      </c>
      <c r="Q14" s="20">
        <f>SUM(O14:P14)</f>
        <v>63.199999999999989</v>
      </c>
      <c r="U14" s="16" t="s">
        <v>234</v>
      </c>
      <c r="V14" s="149">
        <v>304</v>
      </c>
      <c r="W14" s="93" t="s">
        <v>236</v>
      </c>
      <c r="X14" s="14">
        <f t="shared" si="7"/>
        <v>9.3000000000000007</v>
      </c>
      <c r="Y14" s="283">
        <f t="shared" si="1"/>
        <v>4</v>
      </c>
      <c r="Z14" s="14">
        <f>D11</f>
        <v>7.6</v>
      </c>
      <c r="AA14" s="283">
        <f t="shared" si="2"/>
        <v>8</v>
      </c>
      <c r="AB14" s="69">
        <f>Table3515505[[#This Row],[Floor4]]+Table3515505[[#This Row],[Vault6]]</f>
        <v>16.899999999999999</v>
      </c>
      <c r="AC14" s="283">
        <f t="shared" si="3"/>
        <v>7</v>
      </c>
    </row>
    <row r="15" spans="1:61">
      <c r="B15" s="94" t="s">
        <v>37</v>
      </c>
      <c r="D15" s="25"/>
      <c r="E15" s="26"/>
      <c r="H15" s="94" t="s">
        <v>37</v>
      </c>
      <c r="J15" s="25"/>
      <c r="K15" s="26"/>
      <c r="N15" s="94" t="s">
        <v>37</v>
      </c>
      <c r="P15" s="25"/>
      <c r="Q15" s="26"/>
      <c r="U15" s="16" t="s">
        <v>234</v>
      </c>
      <c r="V15" s="149">
        <v>305</v>
      </c>
      <c r="W15" s="93" t="s">
        <v>238</v>
      </c>
      <c r="X15" s="14">
        <f t="shared" si="7"/>
        <v>9.15</v>
      </c>
      <c r="Y15" s="283">
        <f t="shared" si="1"/>
        <v>5</v>
      </c>
      <c r="Z15" s="14">
        <f t="shared" si="8"/>
        <v>7.5</v>
      </c>
      <c r="AA15" s="283">
        <f t="shared" si="2"/>
        <v>9</v>
      </c>
      <c r="AB15" s="69">
        <f>Table3515505[[#This Row],[Floor4]]+Table3515505[[#This Row],[Vault6]]</f>
        <v>16.649999999999999</v>
      </c>
      <c r="AC15" s="283">
        <f t="shared" si="3"/>
        <v>12</v>
      </c>
    </row>
    <row r="16" spans="1:61">
      <c r="U16" s="16" t="s">
        <v>234</v>
      </c>
      <c r="V16" s="149">
        <v>306</v>
      </c>
      <c r="W16" s="100" t="s">
        <v>237</v>
      </c>
      <c r="X16" s="14">
        <f>C13</f>
        <v>9.4499999999999993</v>
      </c>
      <c r="Y16" s="283">
        <f t="shared" si="1"/>
        <v>2</v>
      </c>
      <c r="Z16" s="14">
        <f t="shared" si="8"/>
        <v>7.6</v>
      </c>
      <c r="AA16" s="283">
        <f t="shared" si="2"/>
        <v>8</v>
      </c>
      <c r="AB16" s="69">
        <f>Table3515505[[#This Row],[Floor4]]+Table3515505[[#This Row],[Vault6]]</f>
        <v>17.049999999999997</v>
      </c>
      <c r="AC16" s="283">
        <f t="shared" si="3"/>
        <v>4</v>
      </c>
    </row>
    <row r="17" spans="1:29">
      <c r="A17" s="285" t="s">
        <v>327</v>
      </c>
      <c r="B17" s="71"/>
      <c r="C17" s="71"/>
      <c r="D17" s="71"/>
      <c r="E17" s="72"/>
      <c r="F17" s="8"/>
      <c r="G17" s="285" t="s">
        <v>806</v>
      </c>
      <c r="H17" s="173"/>
      <c r="I17" s="173"/>
      <c r="J17" s="173"/>
      <c r="K17" s="174"/>
      <c r="M17" s="285" t="s">
        <v>157</v>
      </c>
      <c r="N17" s="173"/>
      <c r="O17" s="173"/>
      <c r="P17" s="173"/>
      <c r="Q17" s="174"/>
      <c r="U17" s="16" t="s">
        <v>706</v>
      </c>
      <c r="V17" s="149">
        <v>307</v>
      </c>
      <c r="W17" s="93" t="s">
        <v>288</v>
      </c>
      <c r="X17" s="14">
        <f>I8</f>
        <v>8.4499999999999993</v>
      </c>
      <c r="Y17" s="283">
        <f t="shared" si="1"/>
        <v>18</v>
      </c>
      <c r="Z17" s="14">
        <f>J8</f>
        <v>7.2</v>
      </c>
      <c r="AA17" s="283">
        <f t="shared" si="2"/>
        <v>12</v>
      </c>
      <c r="AB17" s="69">
        <f>Table3515505[[#This Row],[Floor4]]+Table3515505[[#This Row],[Vault6]]</f>
        <v>15.649999999999999</v>
      </c>
      <c r="AC17" s="283">
        <f t="shared" si="3"/>
        <v>27</v>
      </c>
    </row>
    <row r="18" spans="1:29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G18" s="9" t="s">
        <v>1</v>
      </c>
      <c r="H18" s="9" t="s">
        <v>2</v>
      </c>
      <c r="I18" s="9" t="s">
        <v>3</v>
      </c>
      <c r="J18" s="9" t="s">
        <v>4</v>
      </c>
      <c r="K18" s="9" t="s">
        <v>5</v>
      </c>
      <c r="M18" s="9" t="s">
        <v>1</v>
      </c>
      <c r="N18" s="9" t="s">
        <v>2</v>
      </c>
      <c r="O18" s="9" t="s">
        <v>3</v>
      </c>
      <c r="P18" s="9" t="s">
        <v>4</v>
      </c>
      <c r="Q18" s="9" t="s">
        <v>5</v>
      </c>
      <c r="U18" s="16" t="s">
        <v>706</v>
      </c>
      <c r="V18" s="149">
        <v>309</v>
      </c>
      <c r="W18" s="93" t="s">
        <v>287</v>
      </c>
      <c r="X18" s="14">
        <f>I10</f>
        <v>8.85</v>
      </c>
      <c r="Y18" s="283">
        <f t="shared" si="1"/>
        <v>10</v>
      </c>
      <c r="Z18" s="14">
        <f>J10</f>
        <v>7.6</v>
      </c>
      <c r="AA18" s="283">
        <f t="shared" si="2"/>
        <v>8</v>
      </c>
      <c r="AB18" s="69">
        <f>Table3515505[[#This Row],[Floor4]]+Table3515505[[#This Row],[Vault6]]</f>
        <v>16.45</v>
      </c>
      <c r="AC18" s="283">
        <f t="shared" si="3"/>
        <v>14</v>
      </c>
    </row>
    <row r="19" spans="1:29">
      <c r="A19" s="149">
        <v>325</v>
      </c>
      <c r="B19" s="93" t="s">
        <v>333</v>
      </c>
      <c r="C19" s="13">
        <v>8.5</v>
      </c>
      <c r="D19" s="13">
        <v>7.4</v>
      </c>
      <c r="E19" s="13">
        <f>SUM(C19,D19)</f>
        <v>15.9</v>
      </c>
      <c r="G19" s="149">
        <v>331</v>
      </c>
      <c r="H19" s="93" t="s">
        <v>347</v>
      </c>
      <c r="I19" s="13">
        <v>8.35</v>
      </c>
      <c r="J19" s="13">
        <v>6.8</v>
      </c>
      <c r="K19" s="13">
        <f>SUM(I19,J19)</f>
        <v>15.149999999999999</v>
      </c>
      <c r="M19" s="149">
        <v>337</v>
      </c>
      <c r="N19" s="93" t="s">
        <v>64</v>
      </c>
      <c r="O19" s="13">
        <v>8.6999999999999993</v>
      </c>
      <c r="P19" s="13">
        <v>8</v>
      </c>
      <c r="Q19" s="13">
        <f>SUM(O19,P19)</f>
        <v>16.7</v>
      </c>
      <c r="U19" s="16" t="s">
        <v>706</v>
      </c>
      <c r="V19" s="149">
        <v>310</v>
      </c>
      <c r="W19" s="93" t="s">
        <v>726</v>
      </c>
      <c r="X19" s="14">
        <f>I11</f>
        <v>8.35</v>
      </c>
      <c r="Y19" s="283">
        <f t="shared" si="1"/>
        <v>19.999999999999996</v>
      </c>
      <c r="Z19" s="14">
        <f>J11</f>
        <v>7.4</v>
      </c>
      <c r="AA19" s="283">
        <f t="shared" si="2"/>
        <v>10</v>
      </c>
      <c r="AB19" s="69">
        <f>Table3515505[[#This Row],[Floor4]]+Table3515505[[#This Row],[Vault6]]</f>
        <v>15.75</v>
      </c>
      <c r="AC19" s="283">
        <f t="shared" si="3"/>
        <v>26</v>
      </c>
    </row>
    <row r="20" spans="1:29">
      <c r="A20" s="149">
        <v>326</v>
      </c>
      <c r="B20" s="93" t="s">
        <v>325</v>
      </c>
      <c r="C20" s="13">
        <v>8.6999999999999993</v>
      </c>
      <c r="D20" s="13">
        <v>7.2</v>
      </c>
      <c r="E20" s="13">
        <f t="shared" ref="E20:E24" si="9">SUM(C20,D20)</f>
        <v>15.899999999999999</v>
      </c>
      <c r="G20" s="149">
        <v>332</v>
      </c>
      <c r="H20" s="93" t="s">
        <v>342</v>
      </c>
      <c r="I20" s="13">
        <v>9.5</v>
      </c>
      <c r="J20" s="13">
        <v>7.7</v>
      </c>
      <c r="K20" s="13">
        <f t="shared" ref="K20:K24" si="10">SUM(I20,J20)</f>
        <v>17.2</v>
      </c>
      <c r="M20" s="149">
        <v>338</v>
      </c>
      <c r="N20" s="93" t="s">
        <v>826</v>
      </c>
      <c r="O20" s="13">
        <v>8.8000000000000007</v>
      </c>
      <c r="P20" s="13">
        <v>8</v>
      </c>
      <c r="Q20" s="13">
        <f t="shared" ref="Q20:Q24" si="11">SUM(O20,P20)</f>
        <v>16.8</v>
      </c>
      <c r="U20" s="16" t="s">
        <v>706</v>
      </c>
      <c r="V20" s="149">
        <v>311</v>
      </c>
      <c r="W20" s="93" t="s">
        <v>727</v>
      </c>
      <c r="X20" s="14">
        <f>I12</f>
        <v>8.5</v>
      </c>
      <c r="Y20" s="283">
        <f t="shared" si="1"/>
        <v>17</v>
      </c>
      <c r="Z20" s="14">
        <f>J12</f>
        <v>7.3</v>
      </c>
      <c r="AA20" s="283">
        <f t="shared" si="2"/>
        <v>11.000000000000002</v>
      </c>
      <c r="AB20" s="69">
        <f>Table3515505[[#This Row],[Floor4]]+Table3515505[[#This Row],[Vault6]]</f>
        <v>15.8</v>
      </c>
      <c r="AC20" s="283">
        <f t="shared" si="3"/>
        <v>25</v>
      </c>
    </row>
    <row r="21" spans="1:29">
      <c r="A21" s="149">
        <v>327</v>
      </c>
      <c r="B21" s="93" t="s">
        <v>38</v>
      </c>
      <c r="C21" s="13">
        <v>8.0500000000000007</v>
      </c>
      <c r="D21" s="13">
        <v>7.3</v>
      </c>
      <c r="E21" s="13">
        <f t="shared" si="9"/>
        <v>15.350000000000001</v>
      </c>
      <c r="G21" s="149">
        <v>333</v>
      </c>
      <c r="H21" s="93" t="s">
        <v>331</v>
      </c>
      <c r="I21" s="13">
        <v>8.4</v>
      </c>
      <c r="J21" s="13">
        <v>7.5</v>
      </c>
      <c r="K21" s="13">
        <f t="shared" si="10"/>
        <v>15.9</v>
      </c>
      <c r="M21" s="396">
        <v>339</v>
      </c>
      <c r="N21" s="436" t="s">
        <v>827</v>
      </c>
      <c r="O21" s="398">
        <v>0</v>
      </c>
      <c r="P21" s="398">
        <v>0</v>
      </c>
      <c r="Q21" s="398">
        <f t="shared" si="11"/>
        <v>0</v>
      </c>
      <c r="U21" s="16" t="s">
        <v>706</v>
      </c>
      <c r="V21" s="149">
        <v>308</v>
      </c>
      <c r="W21" s="93" t="s">
        <v>289</v>
      </c>
      <c r="X21" s="14">
        <f>I9</f>
        <v>8.8000000000000007</v>
      </c>
      <c r="Y21" s="283">
        <f t="shared" si="1"/>
        <v>11</v>
      </c>
      <c r="Z21" s="14">
        <f>J9</f>
        <v>7.7</v>
      </c>
      <c r="AA21" s="283">
        <f t="shared" si="2"/>
        <v>6.9999999999999991</v>
      </c>
      <c r="AB21" s="69">
        <f>Table3515505[[#This Row],[Floor4]]+Table3515505[[#This Row],[Vault6]]</f>
        <v>16.5</v>
      </c>
      <c r="AC21" s="283">
        <f t="shared" si="3"/>
        <v>13</v>
      </c>
    </row>
    <row r="22" spans="1:29">
      <c r="A22" s="149">
        <v>328</v>
      </c>
      <c r="B22" s="93" t="s">
        <v>330</v>
      </c>
      <c r="C22" s="13">
        <v>8.15</v>
      </c>
      <c r="D22" s="13">
        <v>8.3000000000000007</v>
      </c>
      <c r="E22" s="13">
        <f t="shared" si="9"/>
        <v>16.450000000000003</v>
      </c>
      <c r="G22" s="149">
        <v>334</v>
      </c>
      <c r="H22" s="93" t="s">
        <v>334</v>
      </c>
      <c r="I22" s="13">
        <v>8.9499999999999993</v>
      </c>
      <c r="J22" s="13">
        <v>8</v>
      </c>
      <c r="K22" s="13">
        <f t="shared" si="10"/>
        <v>16.95</v>
      </c>
      <c r="M22" s="149">
        <v>340</v>
      </c>
      <c r="N22" s="93" t="s">
        <v>828</v>
      </c>
      <c r="O22" s="13">
        <v>7.25</v>
      </c>
      <c r="P22" s="13">
        <v>7.5</v>
      </c>
      <c r="Q22" s="13">
        <f t="shared" si="11"/>
        <v>14.75</v>
      </c>
      <c r="U22" s="16" t="s">
        <v>306</v>
      </c>
      <c r="V22" s="149">
        <v>319</v>
      </c>
      <c r="W22" s="100" t="s">
        <v>778</v>
      </c>
      <c r="X22" s="14">
        <f>O8</f>
        <v>8.9</v>
      </c>
      <c r="Y22" s="283">
        <f t="shared" si="1"/>
        <v>9</v>
      </c>
      <c r="Z22" s="14">
        <f>P8</f>
        <v>7.3</v>
      </c>
      <c r="AA22" s="283">
        <f t="shared" si="2"/>
        <v>11.000000000000002</v>
      </c>
      <c r="AB22" s="69">
        <f>Table3515505[[#This Row],[Floor4]]+Table3515505[[#This Row],[Vault6]]</f>
        <v>16.2</v>
      </c>
      <c r="AC22" s="283">
        <f t="shared" si="3"/>
        <v>18</v>
      </c>
    </row>
    <row r="23" spans="1:29">
      <c r="A23" s="149">
        <v>329</v>
      </c>
      <c r="B23" s="93" t="s">
        <v>807</v>
      </c>
      <c r="C23" s="13">
        <v>8.4499999999999993</v>
      </c>
      <c r="D23" s="13">
        <v>7.2</v>
      </c>
      <c r="E23" s="13">
        <f t="shared" si="9"/>
        <v>15.649999999999999</v>
      </c>
      <c r="G23" s="149">
        <v>335</v>
      </c>
      <c r="H23" s="93" t="s">
        <v>324</v>
      </c>
      <c r="I23" s="13">
        <v>8.5500000000000007</v>
      </c>
      <c r="J23" s="13">
        <v>7.4</v>
      </c>
      <c r="K23" s="13">
        <f t="shared" si="10"/>
        <v>15.950000000000001</v>
      </c>
      <c r="M23" s="149">
        <v>341</v>
      </c>
      <c r="N23" s="181" t="s">
        <v>829</v>
      </c>
      <c r="O23" s="13">
        <v>9.35</v>
      </c>
      <c r="P23" s="13">
        <v>7.5</v>
      </c>
      <c r="Q23" s="13">
        <f t="shared" si="11"/>
        <v>16.850000000000001</v>
      </c>
      <c r="U23" s="16" t="s">
        <v>306</v>
      </c>
      <c r="V23" s="149">
        <v>320</v>
      </c>
      <c r="W23" s="100" t="s">
        <v>779</v>
      </c>
      <c r="X23" s="14">
        <f t="shared" ref="X23:X26" si="12">O9</f>
        <v>8.35</v>
      </c>
      <c r="Y23" s="283">
        <f t="shared" si="1"/>
        <v>19.999999999999996</v>
      </c>
      <c r="Z23" s="14">
        <f t="shared" ref="Z23:Z27" si="13">P9</f>
        <v>7.6</v>
      </c>
      <c r="AA23" s="283">
        <f t="shared" si="2"/>
        <v>8</v>
      </c>
      <c r="AB23" s="69">
        <f>Table3515505[[#This Row],[Floor4]]+Table3515505[[#This Row],[Vault6]]</f>
        <v>15.95</v>
      </c>
      <c r="AC23" s="283">
        <f t="shared" si="3"/>
        <v>22</v>
      </c>
    </row>
    <row r="24" spans="1:29" ht="16.5" thickBot="1">
      <c r="A24" s="149">
        <v>330</v>
      </c>
      <c r="B24" s="97"/>
      <c r="C24" s="13">
        <v>0</v>
      </c>
      <c r="D24" s="13">
        <v>0</v>
      </c>
      <c r="E24" s="13">
        <f t="shared" si="9"/>
        <v>0</v>
      </c>
      <c r="F24" s="8"/>
      <c r="G24" s="149">
        <v>336</v>
      </c>
      <c r="H24" s="93" t="s">
        <v>329</v>
      </c>
      <c r="I24" s="13">
        <v>8.75</v>
      </c>
      <c r="J24" s="13">
        <v>7.1</v>
      </c>
      <c r="K24" s="13">
        <f t="shared" si="10"/>
        <v>15.85</v>
      </c>
      <c r="M24" s="149">
        <v>342</v>
      </c>
      <c r="N24" s="97"/>
      <c r="O24" s="13">
        <v>0</v>
      </c>
      <c r="P24" s="13">
        <v>0</v>
      </c>
      <c r="Q24" s="13">
        <f t="shared" si="11"/>
        <v>0</v>
      </c>
      <c r="U24" s="406" t="s">
        <v>306</v>
      </c>
      <c r="V24" s="396">
        <v>321</v>
      </c>
      <c r="W24" s="436" t="s">
        <v>780</v>
      </c>
      <c r="X24" s="401">
        <f>O10</f>
        <v>0</v>
      </c>
      <c r="Y24" s="402">
        <f t="shared" si="1"/>
        <v>27.999999999999996</v>
      </c>
      <c r="Z24" s="401">
        <f t="shared" si="13"/>
        <v>0</v>
      </c>
      <c r="AA24" s="402">
        <f t="shared" si="2"/>
        <v>20</v>
      </c>
      <c r="AB24" s="403">
        <f>Table3515505[[#This Row],[Floor4]]+Table3515505[[#This Row],[Vault6]]</f>
        <v>0</v>
      </c>
      <c r="AC24" s="402">
        <f t="shared" si="3"/>
        <v>40</v>
      </c>
    </row>
    <row r="25" spans="1:29" ht="16.5" thickBot="1">
      <c r="B25" s="25" t="s">
        <v>10</v>
      </c>
      <c r="C25" s="19">
        <f>SUM(C19:C24)-SMALL(C19:C24,1)-SMALL(C19:C24,2)</f>
        <v>33.799999999999997</v>
      </c>
      <c r="D25" s="19">
        <f>SUM(D19:D24)-SMALL(D19:D24,1)-SMALL(D19:D24,2)</f>
        <v>30.200000000000006</v>
      </c>
      <c r="E25" s="20">
        <f>SUM(C25:D25)</f>
        <v>64</v>
      </c>
      <c r="F25" s="8"/>
      <c r="H25" s="25" t="s">
        <v>10</v>
      </c>
      <c r="I25" s="19">
        <f>SUM(I19:I24)-SMALL(I19:I24,1)-SMALL(I19:I24,2)</f>
        <v>35.75</v>
      </c>
      <c r="J25" s="19">
        <f>SUM(J19:J24)-SMALL(J19:J24,1)-SMALL(J19:J24,2)</f>
        <v>30.6</v>
      </c>
      <c r="K25" s="20">
        <f>SUM(I25:J25)</f>
        <v>66.349999999999994</v>
      </c>
      <c r="N25" s="25" t="s">
        <v>10</v>
      </c>
      <c r="O25" s="19">
        <f>SUM(O19:O24)-SMALL(O19:O24,1)-SMALL(O19:O24,2)</f>
        <v>34.1</v>
      </c>
      <c r="P25" s="19">
        <f>SUM(P19:P24)-SMALL(P19:P24,1)-SMALL(P19:P24,2)</f>
        <v>31</v>
      </c>
      <c r="Q25" s="20">
        <f>SUM(O25:P25)</f>
        <v>65.099999999999994</v>
      </c>
      <c r="U25" s="16" t="s">
        <v>306</v>
      </c>
      <c r="V25" s="149">
        <v>322</v>
      </c>
      <c r="W25" s="93" t="s">
        <v>782</v>
      </c>
      <c r="X25" s="14">
        <f>O11</f>
        <v>8.65</v>
      </c>
      <c r="Y25" s="283">
        <f t="shared" si="1"/>
        <v>14.000000000000002</v>
      </c>
      <c r="Z25" s="14">
        <f t="shared" si="13"/>
        <v>7.7</v>
      </c>
      <c r="AA25" s="283">
        <f t="shared" si="2"/>
        <v>6.9999999999999991</v>
      </c>
      <c r="AB25" s="69">
        <f>Table3515505[[#This Row],[Floor4]]+Table3515505[[#This Row],[Vault6]]</f>
        <v>16.350000000000001</v>
      </c>
      <c r="AC25" s="283">
        <f t="shared" si="3"/>
        <v>15</v>
      </c>
    </row>
    <row r="26" spans="1:29">
      <c r="B26" s="94" t="s">
        <v>37</v>
      </c>
      <c r="D26" s="25"/>
      <c r="E26" s="26"/>
      <c r="H26" s="94" t="s">
        <v>37</v>
      </c>
      <c r="J26" s="25"/>
      <c r="K26" s="26"/>
      <c r="N26" s="94" t="s">
        <v>37</v>
      </c>
      <c r="P26" s="25"/>
      <c r="Q26" s="26"/>
      <c r="U26" s="16" t="s">
        <v>306</v>
      </c>
      <c r="V26" s="149">
        <v>323</v>
      </c>
      <c r="W26" s="93" t="s">
        <v>305</v>
      </c>
      <c r="X26" s="14">
        <f t="shared" si="12"/>
        <v>8.1999999999999993</v>
      </c>
      <c r="Y26" s="283">
        <f t="shared" si="1"/>
        <v>21.999999999999996</v>
      </c>
      <c r="Z26" s="14">
        <f>P12</f>
        <v>6.5</v>
      </c>
      <c r="AA26" s="283">
        <f t="shared" si="2"/>
        <v>18</v>
      </c>
      <c r="AB26" s="69">
        <f>Table3515505[[#This Row],[Floor4]]+Table3515505[[#This Row],[Vault6]]</f>
        <v>14.7</v>
      </c>
      <c r="AC26" s="283">
        <f t="shared" si="3"/>
        <v>35</v>
      </c>
    </row>
    <row r="27" spans="1:29">
      <c r="M27" s="106"/>
      <c r="Q27" s="1"/>
      <c r="U27" s="16" t="s">
        <v>306</v>
      </c>
      <c r="V27" s="149">
        <v>324</v>
      </c>
      <c r="W27" s="93" t="s">
        <v>781</v>
      </c>
      <c r="X27" s="14">
        <f>O13</f>
        <v>0</v>
      </c>
      <c r="Y27" s="283">
        <f t="shared" si="1"/>
        <v>27.999999999999996</v>
      </c>
      <c r="Z27" s="14">
        <f t="shared" si="13"/>
        <v>0</v>
      </c>
      <c r="AA27" s="283">
        <f t="shared" si="2"/>
        <v>20</v>
      </c>
      <c r="AB27" s="69">
        <f>Table3515505[[#This Row],[Floor4]]+Table3515505[[#This Row],[Vault6]]</f>
        <v>0</v>
      </c>
      <c r="AC27" s="283">
        <f t="shared" si="3"/>
        <v>40</v>
      </c>
    </row>
    <row r="28" spans="1:29">
      <c r="A28" s="285" t="s">
        <v>369</v>
      </c>
      <c r="B28" s="173"/>
      <c r="C28" s="173"/>
      <c r="D28" s="173"/>
      <c r="E28" s="174"/>
      <c r="F28" s="8"/>
      <c r="G28" s="276" t="s">
        <v>388</v>
      </c>
      <c r="H28" s="173"/>
      <c r="I28" s="173"/>
      <c r="J28" s="173"/>
      <c r="K28" s="174"/>
      <c r="M28" s="285" t="s">
        <v>450</v>
      </c>
      <c r="N28" s="154"/>
      <c r="O28" s="154"/>
      <c r="P28" s="154"/>
      <c r="Q28" s="155"/>
      <c r="U28" s="16" t="s">
        <v>799</v>
      </c>
      <c r="V28" s="149">
        <v>325</v>
      </c>
      <c r="W28" s="93" t="s">
        <v>333</v>
      </c>
      <c r="X28" s="14">
        <f>C19</f>
        <v>8.5</v>
      </c>
      <c r="Y28" s="283">
        <f t="shared" si="1"/>
        <v>17</v>
      </c>
      <c r="Z28" s="14">
        <f>D19</f>
        <v>7.4</v>
      </c>
      <c r="AA28" s="283">
        <f t="shared" si="2"/>
        <v>10</v>
      </c>
      <c r="AB28" s="69">
        <f>Table3515505[[#This Row],[Floor4]]+Table3515505[[#This Row],[Vault6]]</f>
        <v>15.9</v>
      </c>
      <c r="AC28" s="283">
        <f t="shared" si="3"/>
        <v>23</v>
      </c>
    </row>
    <row r="29" spans="1:29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  <c r="G29" s="9" t="s">
        <v>1</v>
      </c>
      <c r="H29" s="9" t="s">
        <v>2</v>
      </c>
      <c r="I29" s="9" t="s">
        <v>3</v>
      </c>
      <c r="J29" s="9" t="s">
        <v>4</v>
      </c>
      <c r="K29" s="9" t="s">
        <v>5</v>
      </c>
      <c r="M29" s="9" t="s">
        <v>1</v>
      </c>
      <c r="N29" s="9" t="s">
        <v>2</v>
      </c>
      <c r="O29" s="9" t="s">
        <v>3</v>
      </c>
      <c r="P29" s="9" t="s">
        <v>4</v>
      </c>
      <c r="Q29" s="9" t="s">
        <v>5</v>
      </c>
      <c r="U29" s="16" t="s">
        <v>799</v>
      </c>
      <c r="V29" s="149">
        <v>326</v>
      </c>
      <c r="W29" s="93" t="s">
        <v>325</v>
      </c>
      <c r="X29" s="14">
        <f t="shared" ref="X29:X30" si="14">C20</f>
        <v>8.6999999999999993</v>
      </c>
      <c r="Y29" s="283">
        <f t="shared" si="1"/>
        <v>13.000000000000002</v>
      </c>
      <c r="Z29" s="14">
        <f t="shared" ref="Z29:Z32" si="15">D20</f>
        <v>7.2</v>
      </c>
      <c r="AA29" s="283">
        <f t="shared" si="2"/>
        <v>12</v>
      </c>
      <c r="AB29" s="69">
        <f>Table3515505[[#This Row],[Floor4]]+Table3515505[[#This Row],[Vault6]]</f>
        <v>15.899999999999999</v>
      </c>
      <c r="AC29" s="283">
        <f t="shared" si="3"/>
        <v>23</v>
      </c>
    </row>
    <row r="30" spans="1:29">
      <c r="A30" s="151">
        <v>343</v>
      </c>
      <c r="B30" s="99" t="s">
        <v>1356</v>
      </c>
      <c r="C30" s="13">
        <v>9.35</v>
      </c>
      <c r="D30" s="13">
        <v>6.7</v>
      </c>
      <c r="E30" s="13">
        <f>SUM(C30,D30)</f>
        <v>16.05</v>
      </c>
      <c r="G30" s="149">
        <v>349</v>
      </c>
      <c r="H30" s="93" t="s">
        <v>394</v>
      </c>
      <c r="I30" s="13">
        <v>8.85</v>
      </c>
      <c r="J30" s="13">
        <v>7.4</v>
      </c>
      <c r="K30" s="13">
        <f>SUM(I30,J30)</f>
        <v>16.25</v>
      </c>
      <c r="M30" s="149">
        <v>355</v>
      </c>
      <c r="N30" s="97"/>
      <c r="O30" s="13">
        <v>0</v>
      </c>
      <c r="P30" s="13">
        <v>0</v>
      </c>
      <c r="Q30" s="13">
        <f>SUM(O30,P30)</f>
        <v>0</v>
      </c>
      <c r="U30" s="16" t="s">
        <v>799</v>
      </c>
      <c r="V30" s="149">
        <v>327</v>
      </c>
      <c r="W30" s="93" t="s">
        <v>38</v>
      </c>
      <c r="X30" s="14">
        <f t="shared" si="14"/>
        <v>8.0500000000000007</v>
      </c>
      <c r="Y30" s="283">
        <f t="shared" si="1"/>
        <v>24.999999999999996</v>
      </c>
      <c r="Z30" s="14">
        <f>D21</f>
        <v>7.3</v>
      </c>
      <c r="AA30" s="283">
        <f t="shared" si="2"/>
        <v>11.000000000000002</v>
      </c>
      <c r="AB30" s="69">
        <f>Table3515505[[#This Row],[Floor4]]+Table3515505[[#This Row],[Vault6]]</f>
        <v>15.350000000000001</v>
      </c>
      <c r="AC30" s="283">
        <f t="shared" si="3"/>
        <v>31</v>
      </c>
    </row>
    <row r="31" spans="1:29">
      <c r="A31" s="151">
        <v>344</v>
      </c>
      <c r="B31" s="99" t="s">
        <v>865</v>
      </c>
      <c r="C31" s="13">
        <v>9.3000000000000007</v>
      </c>
      <c r="D31" s="13">
        <v>6.9</v>
      </c>
      <c r="E31" s="13">
        <f t="shared" ref="E31:E35" si="16">SUM(C31,D31)</f>
        <v>16.200000000000003</v>
      </c>
      <c r="G31" s="149">
        <v>350</v>
      </c>
      <c r="H31" s="93" t="s">
        <v>41</v>
      </c>
      <c r="I31" s="13">
        <v>8.8000000000000007</v>
      </c>
      <c r="J31" s="13">
        <v>8.4</v>
      </c>
      <c r="K31" s="13">
        <f t="shared" ref="K31:K35" si="17">SUM(I31,J31)</f>
        <v>17.200000000000003</v>
      </c>
      <c r="M31" s="149">
        <v>356</v>
      </c>
      <c r="N31" s="108" t="s">
        <v>1084</v>
      </c>
      <c r="O31" s="13">
        <v>5</v>
      </c>
      <c r="P31" s="13">
        <v>6.8</v>
      </c>
      <c r="Q31" s="13">
        <f t="shared" ref="Q31:Q35" si="18">SUM(O31,P31)</f>
        <v>11.8</v>
      </c>
      <c r="U31" s="16" t="s">
        <v>799</v>
      </c>
      <c r="V31" s="149">
        <v>328</v>
      </c>
      <c r="W31" s="93" t="s">
        <v>330</v>
      </c>
      <c r="X31" s="14">
        <f>C22</f>
        <v>8.15</v>
      </c>
      <c r="Y31" s="283">
        <f t="shared" si="1"/>
        <v>22.999999999999996</v>
      </c>
      <c r="Z31" s="14">
        <f t="shared" si="15"/>
        <v>8.3000000000000007</v>
      </c>
      <c r="AA31" s="283">
        <f t="shared" si="2"/>
        <v>2</v>
      </c>
      <c r="AB31" s="69">
        <f>Table3515505[[#This Row],[Floor4]]+Table3515505[[#This Row],[Vault6]]</f>
        <v>16.450000000000003</v>
      </c>
      <c r="AC31" s="283">
        <f t="shared" si="3"/>
        <v>14</v>
      </c>
    </row>
    <row r="32" spans="1:29">
      <c r="A32" s="151">
        <v>345</v>
      </c>
      <c r="B32" s="93" t="s">
        <v>866</v>
      </c>
      <c r="C32" s="13">
        <v>9.3000000000000007</v>
      </c>
      <c r="D32" s="13">
        <v>7.8</v>
      </c>
      <c r="E32" s="13">
        <f t="shared" si="16"/>
        <v>17.100000000000001</v>
      </c>
      <c r="G32" s="149">
        <v>351</v>
      </c>
      <c r="H32" s="93" t="s">
        <v>395</v>
      </c>
      <c r="I32" s="13">
        <v>8.65</v>
      </c>
      <c r="J32" s="13">
        <v>8.1999999999999993</v>
      </c>
      <c r="K32" s="13">
        <f t="shared" si="17"/>
        <v>16.850000000000001</v>
      </c>
      <c r="M32" s="149">
        <v>357</v>
      </c>
      <c r="N32" s="280" t="s">
        <v>1363</v>
      </c>
      <c r="O32" s="13">
        <v>5</v>
      </c>
      <c r="P32" s="13">
        <v>7.9</v>
      </c>
      <c r="Q32" s="13">
        <f t="shared" si="18"/>
        <v>12.9</v>
      </c>
      <c r="U32" s="16" t="s">
        <v>799</v>
      </c>
      <c r="V32" s="149">
        <v>329</v>
      </c>
      <c r="W32" s="93" t="s">
        <v>807</v>
      </c>
      <c r="X32" s="14">
        <f>C23</f>
        <v>8.4499999999999993</v>
      </c>
      <c r="Y32" s="283">
        <f t="shared" si="1"/>
        <v>18</v>
      </c>
      <c r="Z32" s="14">
        <f t="shared" si="15"/>
        <v>7.2</v>
      </c>
      <c r="AA32" s="283">
        <f t="shared" si="2"/>
        <v>12</v>
      </c>
      <c r="AB32" s="69">
        <f>Table3515505[[#This Row],[Floor4]]+Table3515505[[#This Row],[Vault6]]</f>
        <v>15.649999999999999</v>
      </c>
      <c r="AC32" s="283">
        <f t="shared" si="3"/>
        <v>27</v>
      </c>
    </row>
    <row r="33" spans="1:29">
      <c r="A33" s="151">
        <v>346</v>
      </c>
      <c r="B33" s="93" t="s">
        <v>867</v>
      </c>
      <c r="C33" s="13">
        <v>9.15</v>
      </c>
      <c r="D33" s="13">
        <v>7</v>
      </c>
      <c r="E33" s="13">
        <f t="shared" si="16"/>
        <v>16.149999999999999</v>
      </c>
      <c r="G33" s="149">
        <v>352</v>
      </c>
      <c r="H33" s="93" t="s">
        <v>1012</v>
      </c>
      <c r="I33" s="13">
        <v>8.5</v>
      </c>
      <c r="J33" s="13">
        <v>7.8</v>
      </c>
      <c r="K33" s="13">
        <f t="shared" si="17"/>
        <v>16.3</v>
      </c>
      <c r="M33" s="149">
        <v>358</v>
      </c>
      <c r="N33" s="108" t="s">
        <v>1085</v>
      </c>
      <c r="O33" s="13">
        <v>5</v>
      </c>
      <c r="P33" s="13">
        <v>7.3</v>
      </c>
      <c r="Q33" s="13">
        <f t="shared" si="18"/>
        <v>12.3</v>
      </c>
      <c r="U33" s="16" t="s">
        <v>799</v>
      </c>
      <c r="V33" s="149">
        <v>331</v>
      </c>
      <c r="W33" s="93" t="s">
        <v>347</v>
      </c>
      <c r="X33" s="14">
        <f>I19</f>
        <v>8.35</v>
      </c>
      <c r="Y33" s="283">
        <f t="shared" si="1"/>
        <v>19.999999999999996</v>
      </c>
      <c r="Z33" s="14">
        <f>J19</f>
        <v>6.8</v>
      </c>
      <c r="AA33" s="283">
        <f t="shared" si="2"/>
        <v>15.999999999999998</v>
      </c>
      <c r="AB33" s="69">
        <f>Table3515505[[#This Row],[Floor4]]+Table3515505[[#This Row],[Vault6]]</f>
        <v>15.149999999999999</v>
      </c>
      <c r="AC33" s="283">
        <f t="shared" si="3"/>
        <v>33</v>
      </c>
    </row>
    <row r="34" spans="1:29">
      <c r="A34" s="151">
        <v>347</v>
      </c>
      <c r="B34" s="93" t="s">
        <v>868</v>
      </c>
      <c r="C34" s="13">
        <v>9.5</v>
      </c>
      <c r="D34" s="13">
        <v>7.7</v>
      </c>
      <c r="E34" s="13">
        <f t="shared" si="16"/>
        <v>17.2</v>
      </c>
      <c r="G34" s="149">
        <v>353</v>
      </c>
      <c r="H34" s="97"/>
      <c r="I34" s="13">
        <v>0</v>
      </c>
      <c r="J34" s="13">
        <v>0</v>
      </c>
      <c r="K34" s="13">
        <f t="shared" si="17"/>
        <v>0</v>
      </c>
      <c r="M34" s="149">
        <v>359</v>
      </c>
      <c r="N34" s="108" t="s">
        <v>456</v>
      </c>
      <c r="O34" s="13">
        <v>5</v>
      </c>
      <c r="P34" s="13">
        <v>7.6</v>
      </c>
      <c r="Q34" s="13">
        <f t="shared" si="18"/>
        <v>12.6</v>
      </c>
      <c r="U34" s="16" t="s">
        <v>799</v>
      </c>
      <c r="V34" s="149">
        <v>332</v>
      </c>
      <c r="W34" s="93" t="s">
        <v>342</v>
      </c>
      <c r="X34" s="14">
        <f t="shared" ref="X34:X35" si="19">I20</f>
        <v>9.5</v>
      </c>
      <c r="Y34" s="283">
        <f t="shared" si="1"/>
        <v>1</v>
      </c>
      <c r="Z34" s="14">
        <f t="shared" ref="Z34:Z37" si="20">J20</f>
        <v>7.7</v>
      </c>
      <c r="AA34" s="283">
        <f t="shared" si="2"/>
        <v>6.9999999999999991</v>
      </c>
      <c r="AB34" s="69">
        <f>Table3515505[[#This Row],[Floor4]]+Table3515505[[#This Row],[Vault6]]</f>
        <v>17.2</v>
      </c>
      <c r="AC34" s="283">
        <f t="shared" si="3"/>
        <v>2</v>
      </c>
    </row>
    <row r="35" spans="1:29" ht="16.5" thickBot="1">
      <c r="A35" s="151">
        <v>348</v>
      </c>
      <c r="B35" s="93" t="s">
        <v>869</v>
      </c>
      <c r="C35" s="13">
        <v>9.1</v>
      </c>
      <c r="D35" s="13">
        <v>7.6</v>
      </c>
      <c r="E35" s="13">
        <f t="shared" si="16"/>
        <v>16.7</v>
      </c>
      <c r="F35" s="8"/>
      <c r="G35" s="149">
        <v>354</v>
      </c>
      <c r="H35" s="97"/>
      <c r="I35" s="13">
        <v>0</v>
      </c>
      <c r="J35" s="13">
        <v>0</v>
      </c>
      <c r="K35" s="13">
        <f t="shared" si="17"/>
        <v>0</v>
      </c>
      <c r="M35" s="149">
        <v>360</v>
      </c>
      <c r="N35" s="97"/>
      <c r="O35" s="13">
        <v>0</v>
      </c>
      <c r="P35" s="13">
        <v>0</v>
      </c>
      <c r="Q35" s="13">
        <f t="shared" si="18"/>
        <v>0</v>
      </c>
      <c r="U35" s="16" t="s">
        <v>799</v>
      </c>
      <c r="V35" s="149">
        <v>333</v>
      </c>
      <c r="W35" s="93" t="s">
        <v>331</v>
      </c>
      <c r="X35" s="14">
        <f t="shared" si="19"/>
        <v>8.4</v>
      </c>
      <c r="Y35" s="283">
        <f t="shared" si="1"/>
        <v>18.999999999999996</v>
      </c>
      <c r="Z35" s="14">
        <f t="shared" si="20"/>
        <v>7.5</v>
      </c>
      <c r="AA35" s="283">
        <f t="shared" si="2"/>
        <v>9</v>
      </c>
      <c r="AB35" s="69">
        <f>Table3515505[[#This Row],[Floor4]]+Table3515505[[#This Row],[Vault6]]</f>
        <v>15.9</v>
      </c>
      <c r="AC35" s="283">
        <f t="shared" si="3"/>
        <v>23</v>
      </c>
    </row>
    <row r="36" spans="1:29" ht="16.5" thickBot="1">
      <c r="B36" s="25" t="s">
        <v>10</v>
      </c>
      <c r="C36" s="19">
        <f>SUM(C30:C35)-SMALL(C30:C35,1)-SMALL(C30:C35,2)</f>
        <v>37.450000000000003</v>
      </c>
      <c r="D36" s="19">
        <f>SUM(D30:D35)-SMALL(D30:D35,1)-SMALL(D30:D35,2)</f>
        <v>30.1</v>
      </c>
      <c r="E36" s="20">
        <f>SUM(C36:D36)</f>
        <v>67.550000000000011</v>
      </c>
      <c r="F36" s="8"/>
      <c r="H36" s="25" t="s">
        <v>10</v>
      </c>
      <c r="I36" s="19">
        <f>SUM(I30:I35)-SMALL(I30:I35,1)-SMALL(I30:I35,2)</f>
        <v>34.799999999999997</v>
      </c>
      <c r="J36" s="19">
        <f>SUM(J30:J35)-SMALL(J30:J35,1)-SMALL(J30:J35,2)</f>
        <v>31.8</v>
      </c>
      <c r="K36" s="20">
        <f>SUM(I36:J36)</f>
        <v>66.599999999999994</v>
      </c>
      <c r="N36" s="25" t="s">
        <v>10</v>
      </c>
      <c r="O36" s="19">
        <f>SUM(O30:O35)-SMALL(O30:O35,1)-SMALL(O30:O35,2)</f>
        <v>20</v>
      </c>
      <c r="P36" s="19">
        <f>SUM(P30:P35)-SMALL(P30:P35,1)-SMALL(P30:P35,2)</f>
        <v>29.6</v>
      </c>
      <c r="Q36" s="20">
        <f>SUM(O36:P36)</f>
        <v>49.6</v>
      </c>
      <c r="U36" s="16" t="s">
        <v>799</v>
      </c>
      <c r="V36" s="149">
        <v>334</v>
      </c>
      <c r="W36" s="93" t="s">
        <v>334</v>
      </c>
      <c r="X36" s="14">
        <f>I22</f>
        <v>8.9499999999999993</v>
      </c>
      <c r="Y36" s="283">
        <f t="shared" si="1"/>
        <v>8</v>
      </c>
      <c r="Z36" s="14">
        <f>J22</f>
        <v>8</v>
      </c>
      <c r="AA36" s="283">
        <f t="shared" si="2"/>
        <v>4</v>
      </c>
      <c r="AB36" s="69">
        <f>Table3515505[[#This Row],[Floor4]]+Table3515505[[#This Row],[Vault6]]</f>
        <v>16.95</v>
      </c>
      <c r="AC36" s="283">
        <f t="shared" si="3"/>
        <v>6</v>
      </c>
    </row>
    <row r="37" spans="1:29">
      <c r="B37" s="114" t="s">
        <v>37</v>
      </c>
      <c r="C37" s="64"/>
      <c r="D37" s="25"/>
      <c r="E37" s="26"/>
      <c r="H37" s="94" t="s">
        <v>37</v>
      </c>
      <c r="J37" s="25"/>
      <c r="K37" s="26"/>
      <c r="N37" s="94" t="s">
        <v>37</v>
      </c>
      <c r="U37" s="16" t="s">
        <v>799</v>
      </c>
      <c r="V37" s="149">
        <v>335</v>
      </c>
      <c r="W37" s="93" t="s">
        <v>324</v>
      </c>
      <c r="X37" s="14">
        <f>I23</f>
        <v>8.5500000000000007</v>
      </c>
      <c r="Y37" s="283">
        <f t="shared" si="1"/>
        <v>16</v>
      </c>
      <c r="Z37" s="14">
        <f t="shared" si="20"/>
        <v>7.4</v>
      </c>
      <c r="AA37" s="283">
        <f t="shared" si="2"/>
        <v>10</v>
      </c>
      <c r="AB37" s="69">
        <f>Table3515505[[#This Row],[Floor4]]+Table3515505[[#This Row],[Vault6]]</f>
        <v>15.950000000000001</v>
      </c>
      <c r="AC37" s="283">
        <f t="shared" si="3"/>
        <v>22</v>
      </c>
    </row>
    <row r="38" spans="1:29">
      <c r="U38" s="16" t="s">
        <v>799</v>
      </c>
      <c r="V38" s="149">
        <v>336</v>
      </c>
      <c r="W38" s="93" t="s">
        <v>329</v>
      </c>
      <c r="X38" s="14">
        <f>I24</f>
        <v>8.75</v>
      </c>
      <c r="Y38" s="283">
        <f t="shared" si="1"/>
        <v>12.000000000000002</v>
      </c>
      <c r="Z38" s="14">
        <f>J24</f>
        <v>7.1</v>
      </c>
      <c r="AA38" s="283">
        <f t="shared" si="2"/>
        <v>13</v>
      </c>
      <c r="AB38" s="69">
        <f>Table3515505[[#This Row],[Floor4]]+Table3515505[[#This Row],[Vault6]]</f>
        <v>15.85</v>
      </c>
      <c r="AC38" s="283">
        <f t="shared" si="3"/>
        <v>24</v>
      </c>
    </row>
    <row r="39" spans="1:29">
      <c r="A39" s="285" t="s">
        <v>1361</v>
      </c>
      <c r="B39" s="173"/>
      <c r="C39" s="173"/>
      <c r="D39" s="173"/>
      <c r="E39" s="174"/>
      <c r="F39" s="1"/>
      <c r="G39" s="285" t="s">
        <v>1318</v>
      </c>
      <c r="H39" s="220"/>
      <c r="I39" s="220"/>
      <c r="J39" s="220"/>
      <c r="K39" s="221"/>
      <c r="N39" s="39" t="s">
        <v>12</v>
      </c>
      <c r="O39" s="43" t="s">
        <v>5</v>
      </c>
      <c r="P39" s="44" t="s">
        <v>11</v>
      </c>
      <c r="U39" s="16" t="s">
        <v>222</v>
      </c>
      <c r="V39" s="149">
        <v>337</v>
      </c>
      <c r="W39" s="93" t="s">
        <v>64</v>
      </c>
      <c r="X39" s="14">
        <f>O19</f>
        <v>8.6999999999999993</v>
      </c>
      <c r="Y39" s="283">
        <f t="shared" si="1"/>
        <v>13.000000000000002</v>
      </c>
      <c r="Z39" s="14">
        <f>P19</f>
        <v>8</v>
      </c>
      <c r="AA39" s="283">
        <f t="shared" si="2"/>
        <v>4</v>
      </c>
      <c r="AB39" s="69">
        <f>Table3515505[[#This Row],[Floor4]]+Table3515505[[#This Row],[Vault6]]</f>
        <v>16.7</v>
      </c>
      <c r="AC39" s="283">
        <f t="shared" si="3"/>
        <v>11</v>
      </c>
    </row>
    <row r="40" spans="1:29">
      <c r="A40" s="9" t="s">
        <v>1</v>
      </c>
      <c r="B40" s="9" t="s">
        <v>2</v>
      </c>
      <c r="C40" s="9" t="s">
        <v>3</v>
      </c>
      <c r="D40" s="9" t="s">
        <v>4</v>
      </c>
      <c r="E40" s="9" t="s">
        <v>5</v>
      </c>
      <c r="F40" s="1"/>
      <c r="G40" s="9" t="s">
        <v>1</v>
      </c>
      <c r="H40" s="9" t="s">
        <v>2</v>
      </c>
      <c r="I40" s="9" t="s">
        <v>3</v>
      </c>
      <c r="J40" s="9" t="s">
        <v>4</v>
      </c>
      <c r="K40" s="9" t="s">
        <v>5</v>
      </c>
      <c r="N40" s="63" t="s">
        <v>544</v>
      </c>
      <c r="O40" s="73">
        <f>E14</f>
        <v>68.2</v>
      </c>
      <c r="P40" s="40">
        <f t="shared" ref="P40:P48" si="21">SUMPRODUCT((O$40:O$48&gt;O40)/COUNTIF(O$40:O$48,O$40:O$48&amp;""))+1</f>
        <v>1</v>
      </c>
      <c r="U40" s="16" t="s">
        <v>222</v>
      </c>
      <c r="V40" s="149">
        <v>338</v>
      </c>
      <c r="W40" s="93" t="s">
        <v>826</v>
      </c>
      <c r="X40" s="14">
        <f t="shared" ref="X40:X43" si="22">O20</f>
        <v>8.8000000000000007</v>
      </c>
      <c r="Y40" s="283">
        <f t="shared" si="1"/>
        <v>11</v>
      </c>
      <c r="Z40" s="14">
        <f t="shared" ref="Z40:Z43" si="23">P20</f>
        <v>8</v>
      </c>
      <c r="AA40" s="283">
        <f t="shared" si="2"/>
        <v>4</v>
      </c>
      <c r="AB40" s="69">
        <f>Table3515505[[#This Row],[Floor4]]+Table3515505[[#This Row],[Vault6]]</f>
        <v>16.8</v>
      </c>
      <c r="AC40" s="283">
        <f t="shared" si="3"/>
        <v>9</v>
      </c>
    </row>
    <row r="41" spans="1:29">
      <c r="A41" s="396">
        <v>361</v>
      </c>
      <c r="B41" s="406" t="s">
        <v>657</v>
      </c>
      <c r="C41" s="398">
        <v>0</v>
      </c>
      <c r="D41" s="398">
        <v>0</v>
      </c>
      <c r="E41" s="398">
        <f>SUM(C41,D41)</f>
        <v>0</v>
      </c>
      <c r="F41" s="1"/>
      <c r="G41" s="149">
        <v>365</v>
      </c>
      <c r="H41" s="16" t="s">
        <v>855</v>
      </c>
      <c r="I41" s="13">
        <v>8.6</v>
      </c>
      <c r="J41" s="13">
        <v>7.5</v>
      </c>
      <c r="K41" s="13">
        <f t="shared" ref="K41" si="24">SUM(I41,J41)</f>
        <v>16.100000000000001</v>
      </c>
      <c r="N41" s="178" t="s">
        <v>558</v>
      </c>
      <c r="O41" s="47">
        <f>K14</f>
        <v>64.599999999999994</v>
      </c>
      <c r="P41" s="40">
        <f t="shared" si="21"/>
        <v>6</v>
      </c>
      <c r="U41" s="406" t="s">
        <v>222</v>
      </c>
      <c r="V41" s="396">
        <v>339</v>
      </c>
      <c r="W41" s="436" t="s">
        <v>827</v>
      </c>
      <c r="X41" s="401">
        <f>O21</f>
        <v>0</v>
      </c>
      <c r="Y41" s="402">
        <f t="shared" si="1"/>
        <v>27.999999999999996</v>
      </c>
      <c r="Z41" s="401">
        <f>P21</f>
        <v>0</v>
      </c>
      <c r="AA41" s="402">
        <f t="shared" si="2"/>
        <v>20</v>
      </c>
      <c r="AB41" s="403">
        <f>Table3515505[[#This Row],[Floor4]]+Table3515505[[#This Row],[Vault6]]</f>
        <v>0</v>
      </c>
      <c r="AC41" s="402">
        <f t="shared" si="3"/>
        <v>40</v>
      </c>
    </row>
    <row r="42" spans="1:29">
      <c r="F42" s="1"/>
      <c r="N42" s="178" t="s">
        <v>1269</v>
      </c>
      <c r="O42" s="46">
        <f>Q14</f>
        <v>63.199999999999989</v>
      </c>
      <c r="P42" s="40">
        <f t="shared" si="21"/>
        <v>8</v>
      </c>
      <c r="U42" s="16" t="s">
        <v>222</v>
      </c>
      <c r="V42" s="149">
        <v>340</v>
      </c>
      <c r="W42" s="93" t="s">
        <v>828</v>
      </c>
      <c r="X42" s="14">
        <f t="shared" si="22"/>
        <v>7.25</v>
      </c>
      <c r="Y42" s="283">
        <f t="shared" si="1"/>
        <v>25.999999999999996</v>
      </c>
      <c r="Z42" s="14">
        <f t="shared" si="23"/>
        <v>7.5</v>
      </c>
      <c r="AA42" s="283">
        <f t="shared" si="2"/>
        <v>9</v>
      </c>
      <c r="AB42" s="69">
        <f>Table3515505[[#This Row],[Floor4]]+Table3515505[[#This Row],[Vault6]]</f>
        <v>14.75</v>
      </c>
      <c r="AC42" s="283">
        <f t="shared" si="3"/>
        <v>34</v>
      </c>
    </row>
    <row r="43" spans="1:29">
      <c r="A43" s="285" t="s">
        <v>1319</v>
      </c>
      <c r="B43" s="135"/>
      <c r="C43" s="135"/>
      <c r="D43" s="135"/>
      <c r="E43" s="136"/>
      <c r="F43" s="1"/>
      <c r="G43" s="285" t="s">
        <v>1316</v>
      </c>
      <c r="H43" s="220"/>
      <c r="I43" s="220"/>
      <c r="J43" s="220"/>
      <c r="K43" s="221"/>
      <c r="N43" s="266" t="s">
        <v>545</v>
      </c>
      <c r="O43" s="73">
        <f>E25</f>
        <v>64</v>
      </c>
      <c r="P43" s="40">
        <f t="shared" si="21"/>
        <v>7</v>
      </c>
      <c r="U43" s="16" t="s">
        <v>222</v>
      </c>
      <c r="V43" s="149">
        <v>341</v>
      </c>
      <c r="W43" s="181" t="s">
        <v>829</v>
      </c>
      <c r="X43" s="14">
        <f t="shared" si="22"/>
        <v>9.35</v>
      </c>
      <c r="Y43" s="283">
        <f t="shared" si="1"/>
        <v>3</v>
      </c>
      <c r="Z43" s="14">
        <f t="shared" si="23"/>
        <v>7.5</v>
      </c>
      <c r="AA43" s="283">
        <f t="shared" si="2"/>
        <v>9</v>
      </c>
      <c r="AB43" s="69">
        <f>Table3515505[[#This Row],[Floor4]]+Table3515505[[#This Row],[Vault6]]</f>
        <v>16.850000000000001</v>
      </c>
      <c r="AC43" s="283">
        <f t="shared" si="3"/>
        <v>7.9999999999999991</v>
      </c>
    </row>
    <row r="44" spans="1:29">
      <c r="A44" s="9" t="s">
        <v>1</v>
      </c>
      <c r="B44" s="9" t="s">
        <v>2</v>
      </c>
      <c r="C44" s="9" t="s">
        <v>3</v>
      </c>
      <c r="D44" s="9" t="s">
        <v>4</v>
      </c>
      <c r="E44" s="9" t="s">
        <v>5</v>
      </c>
      <c r="F44" s="1"/>
      <c r="G44" s="9" t="s">
        <v>1</v>
      </c>
      <c r="H44" s="9" t="s">
        <v>2</v>
      </c>
      <c r="I44" s="9" t="s">
        <v>3</v>
      </c>
      <c r="J44" s="9" t="s">
        <v>4</v>
      </c>
      <c r="K44" s="9" t="s">
        <v>5</v>
      </c>
      <c r="N44" s="54" t="s">
        <v>1270</v>
      </c>
      <c r="O44" s="47">
        <f>K25</f>
        <v>66.349999999999994</v>
      </c>
      <c r="P44" s="40">
        <f t="shared" si="21"/>
        <v>4</v>
      </c>
      <c r="U44" s="16" t="s">
        <v>854</v>
      </c>
      <c r="V44" s="149">
        <v>365</v>
      </c>
      <c r="W44" s="16" t="s">
        <v>855</v>
      </c>
      <c r="X44" s="14">
        <f>I41</f>
        <v>8.6</v>
      </c>
      <c r="Y44" s="283">
        <f t="shared" si="1"/>
        <v>15.000000000000002</v>
      </c>
      <c r="Z44" s="14">
        <f>J41</f>
        <v>7.5</v>
      </c>
      <c r="AA44" s="283">
        <f t="shared" si="2"/>
        <v>9</v>
      </c>
      <c r="AB44" s="69">
        <f>Table3515505[[#This Row],[Floor4]]+Table3515505[[#This Row],[Vault6]]</f>
        <v>16.100000000000001</v>
      </c>
      <c r="AC44" s="283">
        <f t="shared" si="3"/>
        <v>20</v>
      </c>
    </row>
    <row r="45" spans="1:29">
      <c r="A45" s="396">
        <v>362</v>
      </c>
      <c r="B45" s="397" t="s">
        <v>639</v>
      </c>
      <c r="C45" s="398">
        <v>0</v>
      </c>
      <c r="D45" s="398">
        <v>0</v>
      </c>
      <c r="E45" s="398">
        <f>SUM(C45,D45)</f>
        <v>0</v>
      </c>
      <c r="G45" s="149">
        <v>366</v>
      </c>
      <c r="H45" s="100" t="s">
        <v>888</v>
      </c>
      <c r="I45" s="13">
        <v>8.4</v>
      </c>
      <c r="J45" s="13">
        <v>7.2</v>
      </c>
      <c r="K45" s="13">
        <f>SUM(I45,J45)</f>
        <v>15.600000000000001</v>
      </c>
      <c r="N45" s="266" t="s">
        <v>157</v>
      </c>
      <c r="O45" s="73">
        <f>Q25</f>
        <v>65.099999999999994</v>
      </c>
      <c r="P45" s="40">
        <f t="shared" si="21"/>
        <v>5</v>
      </c>
      <c r="U45" s="16" t="s">
        <v>99</v>
      </c>
      <c r="V45" s="151">
        <v>343</v>
      </c>
      <c r="W45" s="99" t="s">
        <v>1356</v>
      </c>
      <c r="X45" s="14">
        <f>C30</f>
        <v>9.35</v>
      </c>
      <c r="Y45" s="283">
        <f t="shared" si="1"/>
        <v>3</v>
      </c>
      <c r="Z45" s="14">
        <f>D30</f>
        <v>6.7</v>
      </c>
      <c r="AA45" s="283">
        <f t="shared" si="2"/>
        <v>17</v>
      </c>
      <c r="AB45" s="69">
        <f>Table3515505[[#This Row],[Floor4]]+Table3515505[[#This Row],[Vault6]]</f>
        <v>16.05</v>
      </c>
      <c r="AC45" s="283">
        <f t="shared" si="3"/>
        <v>21</v>
      </c>
    </row>
    <row r="46" spans="1:29">
      <c r="A46" s="396">
        <v>363</v>
      </c>
      <c r="B46" s="397" t="s">
        <v>640</v>
      </c>
      <c r="C46" s="398">
        <v>0</v>
      </c>
      <c r="D46" s="398">
        <v>0</v>
      </c>
      <c r="E46" s="398">
        <f t="shared" ref="E46:E47" si="25">SUM(C46,D46)</f>
        <v>0</v>
      </c>
      <c r="N46" s="266" t="s">
        <v>363</v>
      </c>
      <c r="O46" s="62">
        <f>E36</f>
        <v>67.550000000000011</v>
      </c>
      <c r="P46" s="40">
        <f t="shared" si="21"/>
        <v>2</v>
      </c>
      <c r="U46" s="16" t="s">
        <v>99</v>
      </c>
      <c r="V46" s="151">
        <v>344</v>
      </c>
      <c r="W46" s="99" t="s">
        <v>865</v>
      </c>
      <c r="X46" s="14">
        <f t="shared" ref="X46:X50" si="26">C31</f>
        <v>9.3000000000000007</v>
      </c>
      <c r="Y46" s="283">
        <f t="shared" si="1"/>
        <v>4</v>
      </c>
      <c r="Z46" s="14">
        <f t="shared" ref="Z46:Z50" si="27">D31</f>
        <v>6.9</v>
      </c>
      <c r="AA46" s="283">
        <f t="shared" si="2"/>
        <v>14.999999999999998</v>
      </c>
      <c r="AB46" s="69">
        <f>Table3515505[[#This Row],[Floor4]]+Table3515505[[#This Row],[Vault6]]</f>
        <v>16.200000000000003</v>
      </c>
      <c r="AC46" s="283">
        <f t="shared" si="3"/>
        <v>18</v>
      </c>
    </row>
    <row r="47" spans="1:29">
      <c r="A47" s="149">
        <v>364</v>
      </c>
      <c r="B47" s="93" t="s">
        <v>641</v>
      </c>
      <c r="C47" s="13">
        <v>8.9499999999999993</v>
      </c>
      <c r="D47" s="13">
        <v>7.2</v>
      </c>
      <c r="E47" s="13">
        <f t="shared" si="25"/>
        <v>16.149999999999999</v>
      </c>
      <c r="G47" s="285" t="s">
        <v>1314</v>
      </c>
      <c r="H47" s="220"/>
      <c r="I47" s="220"/>
      <c r="J47" s="220"/>
      <c r="K47" s="221"/>
      <c r="N47" s="266" t="s">
        <v>541</v>
      </c>
      <c r="O47" s="73">
        <f>K36</f>
        <v>66.599999999999994</v>
      </c>
      <c r="P47" s="40">
        <f t="shared" si="21"/>
        <v>3</v>
      </c>
      <c r="U47" s="16" t="s">
        <v>99</v>
      </c>
      <c r="V47" s="151">
        <v>345</v>
      </c>
      <c r="W47" s="93" t="s">
        <v>866</v>
      </c>
      <c r="X47" s="14">
        <f t="shared" si="26"/>
        <v>9.3000000000000007</v>
      </c>
      <c r="Y47" s="283">
        <f t="shared" si="1"/>
        <v>4</v>
      </c>
      <c r="Z47" s="14">
        <f t="shared" si="27"/>
        <v>7.8</v>
      </c>
      <c r="AA47" s="283">
        <f t="shared" si="2"/>
        <v>6</v>
      </c>
      <c r="AB47" s="69">
        <f>Table3515505[[#This Row],[Floor4]]+Table3515505[[#This Row],[Vault6]]</f>
        <v>17.100000000000001</v>
      </c>
      <c r="AC47" s="283">
        <f t="shared" si="3"/>
        <v>3</v>
      </c>
    </row>
    <row r="48" spans="1:29">
      <c r="G48" s="9" t="s">
        <v>1</v>
      </c>
      <c r="H48" s="9" t="s">
        <v>2</v>
      </c>
      <c r="I48" s="9" t="s">
        <v>3</v>
      </c>
      <c r="J48" s="9" t="s">
        <v>4</v>
      </c>
      <c r="K48" s="9" t="s">
        <v>5</v>
      </c>
      <c r="N48" s="54" t="s">
        <v>559</v>
      </c>
      <c r="O48" s="46">
        <f>Q36</f>
        <v>49.6</v>
      </c>
      <c r="P48" s="40">
        <f t="shared" si="21"/>
        <v>9</v>
      </c>
      <c r="U48" s="16" t="s">
        <v>99</v>
      </c>
      <c r="V48" s="151">
        <v>346</v>
      </c>
      <c r="W48" s="93" t="s">
        <v>867</v>
      </c>
      <c r="X48" s="14">
        <f t="shared" si="26"/>
        <v>9.15</v>
      </c>
      <c r="Y48" s="283">
        <f t="shared" si="1"/>
        <v>5</v>
      </c>
      <c r="Z48" s="14">
        <f>D33</f>
        <v>7</v>
      </c>
      <c r="AA48" s="283">
        <f t="shared" si="2"/>
        <v>14</v>
      </c>
      <c r="AB48" s="69">
        <f>Table3515505[[#This Row],[Floor4]]+Table3515505[[#This Row],[Vault6]]</f>
        <v>16.149999999999999</v>
      </c>
      <c r="AC48" s="283">
        <f t="shared" si="3"/>
        <v>19</v>
      </c>
    </row>
    <row r="49" spans="1:29">
      <c r="G49" s="149">
        <v>367</v>
      </c>
      <c r="H49" s="93" t="s">
        <v>921</v>
      </c>
      <c r="I49" s="13">
        <v>9.0500000000000007</v>
      </c>
      <c r="J49" s="13">
        <v>6.4</v>
      </c>
      <c r="K49" s="13">
        <f>SUM(I49,J49)</f>
        <v>15.450000000000001</v>
      </c>
      <c r="N49" s="7"/>
      <c r="O49" s="46"/>
      <c r="P49" s="282"/>
      <c r="U49" s="16" t="s">
        <v>99</v>
      </c>
      <c r="V49" s="151">
        <v>347</v>
      </c>
      <c r="W49" s="93" t="s">
        <v>868</v>
      </c>
      <c r="X49" s="14">
        <f>C34</f>
        <v>9.5</v>
      </c>
      <c r="Y49" s="283">
        <f t="shared" si="1"/>
        <v>1</v>
      </c>
      <c r="Z49" s="14">
        <f>D34</f>
        <v>7.7</v>
      </c>
      <c r="AA49" s="283">
        <f t="shared" si="2"/>
        <v>6.9999999999999991</v>
      </c>
      <c r="AB49" s="69">
        <f>Table3515505[[#This Row],[Floor4]]+Table3515505[[#This Row],[Vault6]]</f>
        <v>17.2</v>
      </c>
      <c r="AC49" s="283">
        <f t="shared" si="3"/>
        <v>2</v>
      </c>
    </row>
    <row r="50" spans="1:29">
      <c r="G50" s="149">
        <v>368</v>
      </c>
      <c r="H50" s="93" t="s">
        <v>922</v>
      </c>
      <c r="I50" s="13">
        <v>8.75</v>
      </c>
      <c r="J50" s="13">
        <v>8</v>
      </c>
      <c r="K50" s="13">
        <f t="shared" ref="K50:K51" si="28">SUM(I50,J50)</f>
        <v>16.75</v>
      </c>
      <c r="U50" s="16" t="s">
        <v>99</v>
      </c>
      <c r="V50" s="151">
        <v>348</v>
      </c>
      <c r="W50" s="93" t="s">
        <v>869</v>
      </c>
      <c r="X50" s="14">
        <f t="shared" si="26"/>
        <v>9.1</v>
      </c>
      <c r="Y50" s="283">
        <f t="shared" si="1"/>
        <v>6</v>
      </c>
      <c r="Z50" s="14">
        <f t="shared" si="27"/>
        <v>7.6</v>
      </c>
      <c r="AA50" s="283">
        <f t="shared" si="2"/>
        <v>8</v>
      </c>
      <c r="AB50" s="69">
        <f>Table3515505[[#This Row],[Floor4]]+Table3515505[[#This Row],[Vault6]]</f>
        <v>16.7</v>
      </c>
      <c r="AC50" s="283">
        <f t="shared" si="3"/>
        <v>11</v>
      </c>
    </row>
    <row r="51" spans="1:29">
      <c r="G51" s="149">
        <v>369</v>
      </c>
      <c r="H51" s="93" t="s">
        <v>923</v>
      </c>
      <c r="I51" s="13">
        <v>8.9</v>
      </c>
      <c r="J51" s="13">
        <v>7</v>
      </c>
      <c r="K51" s="13">
        <f t="shared" si="28"/>
        <v>15.9</v>
      </c>
      <c r="U51" s="16" t="s">
        <v>889</v>
      </c>
      <c r="V51" s="149">
        <v>366</v>
      </c>
      <c r="W51" s="100" t="s">
        <v>888</v>
      </c>
      <c r="X51" s="14">
        <f>I45</f>
        <v>8.4</v>
      </c>
      <c r="Y51" s="283">
        <f t="shared" si="1"/>
        <v>18.999999999999996</v>
      </c>
      <c r="Z51" s="14">
        <f>J45</f>
        <v>7.2</v>
      </c>
      <c r="AA51" s="283">
        <f t="shared" si="2"/>
        <v>12</v>
      </c>
      <c r="AB51" s="69">
        <f>Table3515505[[#This Row],[Floor4]]+Table3515505[[#This Row],[Vault6]]</f>
        <v>15.600000000000001</v>
      </c>
      <c r="AC51" s="283">
        <f t="shared" si="3"/>
        <v>28</v>
      </c>
    </row>
    <row r="52" spans="1:29">
      <c r="U52" s="16" t="s">
        <v>917</v>
      </c>
      <c r="V52" s="149">
        <v>367</v>
      </c>
      <c r="W52" s="93" t="s">
        <v>921</v>
      </c>
      <c r="X52" s="14">
        <f>I49</f>
        <v>9.0500000000000007</v>
      </c>
      <c r="Y52" s="283">
        <f t="shared" si="1"/>
        <v>7</v>
      </c>
      <c r="Z52" s="14">
        <f>J49</f>
        <v>6.4</v>
      </c>
      <c r="AA52" s="283">
        <f t="shared" si="2"/>
        <v>19</v>
      </c>
      <c r="AB52" s="69">
        <f>Table3515505[[#This Row],[Floor4]]+Table3515505[[#This Row],[Vault6]]</f>
        <v>15.450000000000001</v>
      </c>
      <c r="AC52" s="283">
        <f t="shared" si="3"/>
        <v>30</v>
      </c>
    </row>
    <row r="53" spans="1:29">
      <c r="A53" s="77"/>
      <c r="B53" s="77"/>
      <c r="C53" s="77"/>
      <c r="D53" s="77"/>
      <c r="E53" s="77"/>
      <c r="F53" s="106"/>
      <c r="U53" s="16" t="s">
        <v>917</v>
      </c>
      <c r="V53" s="149">
        <v>368</v>
      </c>
      <c r="W53" s="93" t="s">
        <v>922</v>
      </c>
      <c r="X53" s="14">
        <f>I50</f>
        <v>8.75</v>
      </c>
      <c r="Y53" s="283">
        <f t="shared" si="1"/>
        <v>12.000000000000002</v>
      </c>
      <c r="Z53" s="14">
        <f>J50</f>
        <v>8</v>
      </c>
      <c r="AA53" s="283">
        <f t="shared" si="2"/>
        <v>4</v>
      </c>
      <c r="AB53" s="69">
        <f>Table3515505[[#This Row],[Floor4]]+Table3515505[[#This Row],[Vault6]]</f>
        <v>16.75</v>
      </c>
      <c r="AC53" s="283">
        <f t="shared" si="3"/>
        <v>10</v>
      </c>
    </row>
    <row r="54" spans="1:29">
      <c r="F54" s="1"/>
      <c r="U54" s="16" t="s">
        <v>917</v>
      </c>
      <c r="V54" s="149">
        <v>369</v>
      </c>
      <c r="W54" s="93" t="s">
        <v>923</v>
      </c>
      <c r="X54" s="14">
        <f t="shared" ref="X54" si="29">I51</f>
        <v>8.9</v>
      </c>
      <c r="Y54" s="283">
        <f t="shared" si="1"/>
        <v>9</v>
      </c>
      <c r="Z54" s="14">
        <f>J51</f>
        <v>7</v>
      </c>
      <c r="AA54" s="283">
        <f t="shared" si="2"/>
        <v>14</v>
      </c>
      <c r="AB54" s="69">
        <f>Table3515505[[#This Row],[Floor4]]+Table3515505[[#This Row],[Vault6]]</f>
        <v>15.9</v>
      </c>
      <c r="AC54" s="283">
        <f t="shared" si="3"/>
        <v>23</v>
      </c>
    </row>
    <row r="55" spans="1:29">
      <c r="F55" s="1"/>
      <c r="U55" s="16" t="s">
        <v>391</v>
      </c>
      <c r="V55" s="149">
        <v>349</v>
      </c>
      <c r="W55" s="93" t="s">
        <v>394</v>
      </c>
      <c r="X55" s="14">
        <f>I30</f>
        <v>8.85</v>
      </c>
      <c r="Y55" s="283">
        <f t="shared" si="1"/>
        <v>10</v>
      </c>
      <c r="Z55" s="14">
        <f>J30</f>
        <v>7.4</v>
      </c>
      <c r="AA55" s="283">
        <f t="shared" si="2"/>
        <v>10</v>
      </c>
      <c r="AB55" s="69">
        <f>Table3515505[[#This Row],[Floor4]]+Table3515505[[#This Row],[Vault6]]</f>
        <v>16.25</v>
      </c>
      <c r="AC55" s="283">
        <f t="shared" si="3"/>
        <v>17</v>
      </c>
    </row>
    <row r="56" spans="1:29">
      <c r="F56" s="1"/>
      <c r="U56" s="16" t="s">
        <v>391</v>
      </c>
      <c r="V56" s="149">
        <v>350</v>
      </c>
      <c r="W56" s="93" t="s">
        <v>41</v>
      </c>
      <c r="X56" s="14">
        <f t="shared" ref="X56:X58" si="30">I31</f>
        <v>8.8000000000000007</v>
      </c>
      <c r="Y56" s="283">
        <f t="shared" si="1"/>
        <v>11</v>
      </c>
      <c r="Z56" s="14">
        <f t="shared" ref="Z56:Z58" si="31">J31</f>
        <v>8.4</v>
      </c>
      <c r="AA56" s="283">
        <f t="shared" si="2"/>
        <v>1</v>
      </c>
      <c r="AB56" s="69">
        <f>Table3515505[[#This Row],[Floor4]]+Table3515505[[#This Row],[Vault6]]</f>
        <v>17.200000000000003</v>
      </c>
      <c r="AC56" s="283">
        <f t="shared" si="3"/>
        <v>2</v>
      </c>
    </row>
    <row r="57" spans="1:29">
      <c r="F57" s="1"/>
      <c r="U57" s="16" t="s">
        <v>391</v>
      </c>
      <c r="V57" s="149">
        <v>351</v>
      </c>
      <c r="W57" s="93" t="s">
        <v>395</v>
      </c>
      <c r="X57" s="14">
        <f t="shared" si="30"/>
        <v>8.65</v>
      </c>
      <c r="Y57" s="283">
        <f t="shared" si="1"/>
        <v>14.000000000000002</v>
      </c>
      <c r="Z57" s="14">
        <f>J32</f>
        <v>8.1999999999999993</v>
      </c>
      <c r="AA57" s="283">
        <f t="shared" si="2"/>
        <v>3</v>
      </c>
      <c r="AB57" s="69">
        <f>Table3515505[[#This Row],[Floor4]]+Table3515505[[#This Row],[Vault6]]</f>
        <v>16.850000000000001</v>
      </c>
      <c r="AC57" s="283">
        <f t="shared" si="3"/>
        <v>7.9999999999999991</v>
      </c>
    </row>
    <row r="58" spans="1:29">
      <c r="F58" s="1"/>
      <c r="G58" s="1"/>
      <c r="H58" s="104"/>
      <c r="I58" s="64"/>
      <c r="J58" s="64"/>
      <c r="K58" s="105"/>
      <c r="U58" s="16" t="s">
        <v>391</v>
      </c>
      <c r="V58" s="149">
        <v>352</v>
      </c>
      <c r="W58" s="93" t="s">
        <v>1012</v>
      </c>
      <c r="X58" s="14">
        <f t="shared" si="30"/>
        <v>8.5</v>
      </c>
      <c r="Y58" s="283">
        <f t="shared" si="1"/>
        <v>17</v>
      </c>
      <c r="Z58" s="14">
        <f t="shared" si="31"/>
        <v>7.8</v>
      </c>
      <c r="AA58" s="283">
        <f t="shared" si="2"/>
        <v>6</v>
      </c>
      <c r="AB58" s="69">
        <f>Table3515505[[#This Row],[Floor4]]+Table3515505[[#This Row],[Vault6]]</f>
        <v>16.3</v>
      </c>
      <c r="AC58" s="283">
        <f t="shared" si="3"/>
        <v>16</v>
      </c>
    </row>
    <row r="59" spans="1:29">
      <c r="A59" s="102"/>
      <c r="B59" s="110"/>
      <c r="C59" s="73"/>
      <c r="D59" s="73"/>
      <c r="E59" s="73"/>
      <c r="F59" s="1"/>
      <c r="G59" s="1"/>
      <c r="H59" s="121"/>
      <c r="I59" s="1"/>
      <c r="J59" s="104"/>
      <c r="K59" s="115"/>
      <c r="U59" s="16" t="s">
        <v>454</v>
      </c>
      <c r="V59" s="149">
        <v>356</v>
      </c>
      <c r="W59" s="101" t="s">
        <v>1084</v>
      </c>
      <c r="X59" s="14">
        <f>O31</f>
        <v>5</v>
      </c>
      <c r="Y59" s="283">
        <f t="shared" si="1"/>
        <v>26.999999999999996</v>
      </c>
      <c r="Z59" s="14">
        <f>P31</f>
        <v>6.8</v>
      </c>
      <c r="AA59" s="283">
        <f t="shared" si="2"/>
        <v>15.999999999999998</v>
      </c>
      <c r="AB59" s="69">
        <f>Table3515505[[#This Row],[Floor4]]+Table3515505[[#This Row],[Vault6]]</f>
        <v>11.8</v>
      </c>
      <c r="AC59" s="283">
        <f t="shared" si="3"/>
        <v>39</v>
      </c>
    </row>
    <row r="60" spans="1:29">
      <c r="U60" s="16" t="s">
        <v>454</v>
      </c>
      <c r="V60" s="149">
        <v>357</v>
      </c>
      <c r="W60" s="280" t="s">
        <v>1363</v>
      </c>
      <c r="X60" s="14">
        <f>O32</f>
        <v>5</v>
      </c>
      <c r="Y60" s="283">
        <f t="shared" si="1"/>
        <v>26.999999999999996</v>
      </c>
      <c r="Z60" s="14">
        <f>P32</f>
        <v>7.9</v>
      </c>
      <c r="AA60" s="283">
        <f t="shared" si="2"/>
        <v>5</v>
      </c>
      <c r="AB60" s="69">
        <f>Table3515505[[#This Row],[Floor4]]+Table3515505[[#This Row],[Vault6]]</f>
        <v>12.9</v>
      </c>
      <c r="AC60" s="283">
        <f t="shared" si="3"/>
        <v>36</v>
      </c>
    </row>
    <row r="61" spans="1:29">
      <c r="U61" s="16" t="s">
        <v>454</v>
      </c>
      <c r="V61" s="149">
        <v>358</v>
      </c>
      <c r="W61" s="101" t="s">
        <v>1085</v>
      </c>
      <c r="X61" s="14">
        <f>O33</f>
        <v>5</v>
      </c>
      <c r="Y61" s="283">
        <f t="shared" si="1"/>
        <v>26.999999999999996</v>
      </c>
      <c r="Z61" s="14">
        <f>P33</f>
        <v>7.3</v>
      </c>
      <c r="AA61" s="283">
        <f t="shared" si="2"/>
        <v>11.000000000000002</v>
      </c>
      <c r="AB61" s="69">
        <f>Table3515505[[#This Row],[Floor4]]+Table3515505[[#This Row],[Vault6]]</f>
        <v>12.3</v>
      </c>
      <c r="AC61" s="283">
        <f t="shared" si="3"/>
        <v>38</v>
      </c>
    </row>
    <row r="62" spans="1:29">
      <c r="U62" s="16" t="s">
        <v>454</v>
      </c>
      <c r="V62" s="149">
        <v>359</v>
      </c>
      <c r="W62" s="109" t="s">
        <v>456</v>
      </c>
      <c r="X62" s="14">
        <f t="shared" ref="X62" si="32">O34</f>
        <v>5</v>
      </c>
      <c r="Y62" s="283">
        <f t="shared" si="1"/>
        <v>26.999999999999996</v>
      </c>
      <c r="Z62" s="14">
        <f t="shared" ref="Z62" si="33">P34</f>
        <v>7.6</v>
      </c>
      <c r="AA62" s="283">
        <f t="shared" si="2"/>
        <v>8</v>
      </c>
      <c r="AB62" s="69">
        <f>Table3515505[[#This Row],[Floor4]]+Table3515505[[#This Row],[Vault6]]</f>
        <v>12.6</v>
      </c>
      <c r="AC62" s="283">
        <f t="shared" si="3"/>
        <v>37</v>
      </c>
    </row>
    <row r="63" spans="1:29">
      <c r="U63" s="307" t="s">
        <v>706</v>
      </c>
      <c r="V63" s="302">
        <v>373</v>
      </c>
      <c r="W63" s="308" t="s">
        <v>728</v>
      </c>
      <c r="X63" s="295">
        <f>'BEG 13&amp;U MX'!D11</f>
        <v>8.1</v>
      </c>
      <c r="Y63" s="283">
        <f t="shared" si="1"/>
        <v>23.999999999999996</v>
      </c>
      <c r="Z63" s="295">
        <f>'BEG 13&amp;U MX'!E11</f>
        <v>7.1</v>
      </c>
      <c r="AA63" s="283">
        <f t="shared" si="2"/>
        <v>13</v>
      </c>
      <c r="AB63" s="299">
        <f>Table3515505[[#This Row],[Floor4]]+Table3515505[[#This Row],[Vault6]]</f>
        <v>15.2</v>
      </c>
      <c r="AC63" s="283">
        <f t="shared" si="3"/>
        <v>32</v>
      </c>
    </row>
    <row r="64" spans="1:29">
      <c r="U64" s="307" t="s">
        <v>706</v>
      </c>
      <c r="V64" s="302">
        <v>374</v>
      </c>
      <c r="W64" s="308" t="s">
        <v>731</v>
      </c>
      <c r="X64" s="295">
        <f>'BEG 13&amp;U MX'!D12</f>
        <v>8.25</v>
      </c>
      <c r="Y64" s="283">
        <f t="shared" si="1"/>
        <v>20.999999999999996</v>
      </c>
      <c r="Z64" s="295">
        <f>'BEG 13&amp;U MX'!E12</f>
        <v>7.2</v>
      </c>
      <c r="AA64" s="283">
        <f t="shared" si="2"/>
        <v>12</v>
      </c>
      <c r="AB64" s="299">
        <f>Table3515505[[#This Row],[Floor4]]+Table3515505[[#This Row],[Vault6]]</f>
        <v>15.45</v>
      </c>
      <c r="AC64" s="283">
        <f t="shared" si="3"/>
        <v>30</v>
      </c>
    </row>
    <row r="65" spans="7:29">
      <c r="G65" s="1"/>
      <c r="H65" s="1"/>
      <c r="I65" s="1"/>
      <c r="J65" s="1"/>
      <c r="K65" s="1"/>
      <c r="U65" s="309" t="s">
        <v>706</v>
      </c>
      <c r="V65" s="310">
        <v>375</v>
      </c>
      <c r="W65" s="311" t="s">
        <v>284</v>
      </c>
      <c r="X65" s="295">
        <f>'BEG 13&amp;U MX'!D13</f>
        <v>8.4499999999999993</v>
      </c>
      <c r="Y65" s="283">
        <f t="shared" si="1"/>
        <v>18</v>
      </c>
      <c r="Z65" s="295">
        <f>'BEG 13&amp;U MX'!E13</f>
        <v>7.3</v>
      </c>
      <c r="AA65" s="283">
        <f t="shared" si="2"/>
        <v>11.000000000000002</v>
      </c>
      <c r="AB65" s="300">
        <f>Table3515505[[#This Row],[Floor4]]+Table3515505[[#This Row],[Vault6]]</f>
        <v>15.75</v>
      </c>
      <c r="AC65" s="283">
        <f t="shared" si="3"/>
        <v>26</v>
      </c>
    </row>
    <row r="70" spans="7:29">
      <c r="L70" s="113"/>
    </row>
    <row r="73" spans="7:29">
      <c r="M73" s="102"/>
      <c r="Q73" s="73"/>
    </row>
    <row r="74" spans="7:29">
      <c r="M74" s="102"/>
      <c r="Q74" s="73"/>
    </row>
    <row r="75" spans="7:29">
      <c r="M75" s="102"/>
      <c r="Q75" s="73"/>
    </row>
    <row r="76" spans="7:29">
      <c r="G76" s="152"/>
      <c r="H76" s="184"/>
      <c r="I76" s="73"/>
      <c r="J76" s="73"/>
      <c r="K76" s="73"/>
      <c r="L76" s="8"/>
      <c r="M76" s="102"/>
      <c r="Q76" s="68"/>
    </row>
    <row r="77" spans="7:29">
      <c r="G77" s="152"/>
      <c r="H77" s="107"/>
      <c r="I77" s="73"/>
      <c r="J77" s="73"/>
      <c r="K77" s="73"/>
    </row>
    <row r="78" spans="7:29">
      <c r="G78" s="152"/>
      <c r="H78" s="107"/>
      <c r="I78" s="73"/>
      <c r="J78" s="73"/>
      <c r="K78" s="73"/>
    </row>
    <row r="79" spans="7:29">
      <c r="G79" s="152"/>
      <c r="H79" s="107"/>
      <c r="I79" s="73"/>
      <c r="J79" s="73"/>
      <c r="K79" s="73"/>
    </row>
    <row r="80" spans="7:29">
      <c r="G80" s="152"/>
      <c r="H80" s="107"/>
      <c r="I80" s="73"/>
      <c r="J80" s="73"/>
      <c r="K80" s="68"/>
    </row>
  </sheetData>
  <mergeCells count="3">
    <mergeCell ref="A1:AC1"/>
    <mergeCell ref="A2:AC2"/>
    <mergeCell ref="G4:I4"/>
  </mergeCells>
  <phoneticPr fontId="21" type="noConversion"/>
  <conditionalFormatting sqref="Y7:Y65">
    <cfRule type="cellIs" dxfId="942" priority="10" operator="equal">
      <formula>3</formula>
    </cfRule>
    <cfRule type="cellIs" dxfId="941" priority="11" operator="equal">
      <formula>2</formula>
    </cfRule>
    <cfRule type="cellIs" dxfId="940" priority="12" operator="equal">
      <formula>1</formula>
    </cfRule>
  </conditionalFormatting>
  <conditionalFormatting sqref="AA7:AA65">
    <cfRule type="cellIs" dxfId="939" priority="7" operator="equal">
      <formula>3</formula>
    </cfRule>
    <cfRule type="cellIs" dxfId="938" priority="8" operator="equal">
      <formula>2</formula>
    </cfRule>
    <cfRule type="cellIs" dxfId="937" priority="9" operator="equal">
      <formula>1</formula>
    </cfRule>
  </conditionalFormatting>
  <conditionalFormatting sqref="AC7:AC65">
    <cfRule type="cellIs" dxfId="936" priority="4" operator="equal">
      <formula>3</formula>
    </cfRule>
    <cfRule type="cellIs" dxfId="935" priority="5" operator="equal">
      <formula>2</formula>
    </cfRule>
    <cfRule type="cellIs" dxfId="934" priority="6" operator="equal">
      <formula>1</formula>
    </cfRule>
  </conditionalFormatting>
  <conditionalFormatting sqref="P40:P48">
    <cfRule type="cellIs" dxfId="933" priority="1" operator="equal">
      <formula>3</formula>
    </cfRule>
    <cfRule type="cellIs" dxfId="932" priority="2" operator="equal">
      <formula>2</formula>
    </cfRule>
    <cfRule type="cellIs" dxfId="931" priority="3" operator="equal">
      <formula>1</formula>
    </cfRule>
  </conditionalFormatting>
  <pageMargins left="0.75" right="0.75" top="1" bottom="1" header="0.5" footer="0.5"/>
  <pageSetup paperSize="9" scale="41" orientation="landscape" horizontalDpi="4294967292" verticalDpi="4294967292"/>
  <rowBreaks count="1" manualBreakCount="1">
    <brk id="66" max="16383" man="1"/>
  </rowBreaks>
  <colBreaks count="1" manualBreakCount="1">
    <brk id="29" max="1048575" man="1"/>
  </colBreaks>
  <ignoredErrors>
    <ignoredError sqref="Z46:Z65 Z7:Z45" formula="1"/>
  </ignoredErrors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CD26"/>
  <sheetViews>
    <sheetView zoomScale="90" zoomScaleNormal="90" zoomScalePageLayoutView="90" workbookViewId="0">
      <selection activeCell="A3" sqref="A3"/>
    </sheetView>
  </sheetViews>
  <sheetFormatPr defaultColWidth="8.875" defaultRowHeight="15.75"/>
  <cols>
    <col min="1" max="1" width="5.5" bestFit="1" customWidth="1"/>
    <col min="2" max="2" width="4.625" customWidth="1"/>
    <col min="3" max="3" width="21.875" bestFit="1" customWidth="1"/>
    <col min="4" max="4" width="7.875" bestFit="1" customWidth="1"/>
    <col min="5" max="5" width="7.625" bestFit="1" customWidth="1"/>
    <col min="6" max="6" width="7.5" bestFit="1" customWidth="1"/>
    <col min="7" max="10" width="1.875" hidden="1" customWidth="1"/>
    <col min="11" max="11" width="3" customWidth="1"/>
    <col min="12" max="12" width="5.5" bestFit="1" customWidth="1"/>
    <col min="13" max="13" width="4.5" customWidth="1"/>
    <col min="14" max="14" width="22.875" bestFit="1" customWidth="1"/>
    <col min="15" max="15" width="9.125" customWidth="1"/>
    <col min="16" max="16" width="7.625" bestFit="1" customWidth="1"/>
    <col min="17" max="17" width="7.5" bestFit="1" customWidth="1"/>
    <col min="18" max="18" width="6.375" hidden="1" customWidth="1"/>
    <col min="19" max="20" width="6.125" hidden="1" customWidth="1"/>
    <col min="21" max="21" width="7.5" hidden="1" customWidth="1"/>
    <col min="22" max="22" width="2.5" customWidth="1"/>
    <col min="23" max="23" width="5.375" customWidth="1"/>
    <col min="24" max="24" width="4.875" customWidth="1"/>
    <col min="25" max="25" width="20.375" bestFit="1" customWidth="1"/>
    <col min="26" max="26" width="7.875" bestFit="1" customWidth="1"/>
    <col min="27" max="27" width="7.625" bestFit="1" customWidth="1"/>
    <col min="28" max="28" width="7.5" bestFit="1" customWidth="1"/>
    <col min="29" max="29" width="6.375" hidden="1" customWidth="1"/>
    <col min="30" max="32" width="6.125" hidden="1" customWidth="1"/>
    <col min="33" max="33" width="0.375" customWidth="1"/>
    <col min="34" max="34" width="0.5" customWidth="1"/>
  </cols>
  <sheetData>
    <row r="1" spans="1:82" s="32" customFormat="1" ht="28.5">
      <c r="A1" s="457" t="s">
        <v>576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82" s="32" customFormat="1" ht="18.75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"/>
      <c r="BI2" s="2"/>
    </row>
    <row r="3" spans="1:82" ht="23.25">
      <c r="F3" s="4"/>
      <c r="H3" s="1"/>
      <c r="I3" s="4"/>
      <c r="K3" s="4"/>
      <c r="L3" s="5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21">
      <c r="A4" s="8"/>
      <c r="F4" s="1"/>
      <c r="G4" s="1"/>
      <c r="H4" s="1"/>
      <c r="I4" s="1"/>
      <c r="J4" s="1"/>
      <c r="K4" s="1"/>
      <c r="L4" s="467" t="s">
        <v>729</v>
      </c>
      <c r="M4" s="468"/>
      <c r="N4" s="468"/>
      <c r="O4" s="46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>
      <c r="V5" s="1"/>
    </row>
    <row r="6" spans="1:82">
      <c r="A6" s="470" t="s">
        <v>85</v>
      </c>
      <c r="B6" s="471"/>
      <c r="C6" s="471"/>
      <c r="D6" s="471"/>
      <c r="E6" s="471"/>
      <c r="F6" s="472"/>
      <c r="G6" s="8"/>
      <c r="H6" s="8"/>
      <c r="I6" s="8"/>
      <c r="J6" s="8"/>
      <c r="K6" s="8"/>
      <c r="L6" s="113"/>
      <c r="M6" s="113"/>
      <c r="N6" s="113"/>
      <c r="O6" s="113"/>
      <c r="P6" s="113"/>
      <c r="Q6" s="113"/>
      <c r="R6" s="8"/>
      <c r="S6" s="8"/>
      <c r="T6" s="8"/>
      <c r="U6" s="8"/>
      <c r="V6" s="8"/>
      <c r="W6" s="113"/>
      <c r="X6" s="113"/>
      <c r="Y6" s="39" t="s">
        <v>12</v>
      </c>
      <c r="Z6" s="43" t="s">
        <v>5</v>
      </c>
      <c r="AA6" s="44" t="s">
        <v>11</v>
      </c>
      <c r="AB6" s="113"/>
      <c r="AC6" s="8"/>
      <c r="AD6" s="8"/>
      <c r="AE6" s="8"/>
      <c r="AF6" s="8"/>
      <c r="AG6" s="8"/>
    </row>
    <row r="7" spans="1:82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112" t="s">
        <v>6</v>
      </c>
      <c r="H7" s="11"/>
      <c r="I7" s="11" t="s">
        <v>7</v>
      </c>
      <c r="J7" s="11"/>
      <c r="L7" s="111"/>
      <c r="M7" s="111"/>
      <c r="N7" s="111"/>
      <c r="O7" s="111"/>
      <c r="P7" s="111"/>
      <c r="Q7" s="111"/>
      <c r="R7" s="112" t="s">
        <v>6</v>
      </c>
      <c r="S7" s="11"/>
      <c r="T7" s="11" t="s">
        <v>7</v>
      </c>
      <c r="U7" s="11"/>
      <c r="W7" s="111"/>
      <c r="X7" s="111"/>
      <c r="Y7" t="s">
        <v>550</v>
      </c>
      <c r="Z7" s="47">
        <f>F14</f>
        <v>61.550000000000004</v>
      </c>
      <c r="AA7" s="210">
        <v>1</v>
      </c>
      <c r="AB7" s="111"/>
      <c r="AC7" s="112" t="s">
        <v>6</v>
      </c>
      <c r="AD7" s="11"/>
      <c r="AE7" s="11" t="s">
        <v>7</v>
      </c>
      <c r="AF7" s="11"/>
    </row>
    <row r="8" spans="1:82">
      <c r="A8" s="12" t="s">
        <v>8</v>
      </c>
      <c r="B8" s="149">
        <v>370</v>
      </c>
      <c r="C8" s="93" t="s">
        <v>730</v>
      </c>
      <c r="D8" s="13">
        <v>8.25</v>
      </c>
      <c r="E8" s="13">
        <v>7.2</v>
      </c>
      <c r="F8" s="13">
        <f>SUM(D8:E8)</f>
        <v>15.45</v>
      </c>
      <c r="G8" s="11">
        <f t="shared" ref="G8:G13" si="0">IF(A8="M",D8)</f>
        <v>8.25</v>
      </c>
      <c r="H8" s="11" t="b">
        <f t="shared" ref="H8:H13" si="1">IF(A8="F",D8)</f>
        <v>0</v>
      </c>
      <c r="I8" s="11">
        <f t="shared" ref="I8:I13" si="2">IF(A8="M",E8)</f>
        <v>7.2</v>
      </c>
      <c r="J8" s="11" t="b">
        <f t="shared" ref="J8:J13" si="3">IF(A8="F",E8)</f>
        <v>0</v>
      </c>
      <c r="L8" s="102"/>
      <c r="M8" s="152"/>
      <c r="N8" s="106"/>
      <c r="O8" s="73"/>
      <c r="P8" s="73"/>
      <c r="Q8" s="73"/>
      <c r="R8" s="11" t="b">
        <f t="shared" ref="R8:R13" si="4">IF(L8="M",O8)</f>
        <v>0</v>
      </c>
      <c r="S8" s="11" t="b">
        <f t="shared" ref="S8:S13" si="5">IF(L8="F",O8)</f>
        <v>0</v>
      </c>
      <c r="T8" s="11" t="b">
        <f t="shared" ref="T8:T13" si="6">IF(L8="M",P8)</f>
        <v>0</v>
      </c>
      <c r="U8" s="11" t="b">
        <f t="shared" ref="U8:U13" si="7">IF(L8="F",P8)</f>
        <v>0</v>
      </c>
      <c r="W8" s="102"/>
      <c r="X8" s="152"/>
      <c r="Y8" s="54"/>
      <c r="Z8" s="62"/>
      <c r="AA8" s="210"/>
      <c r="AB8" s="73"/>
      <c r="AC8" s="11" t="b">
        <f>IF(W8="M",#REF!)</f>
        <v>0</v>
      </c>
      <c r="AD8" s="11" t="b">
        <f>IF(W8="F",#REF!)</f>
        <v>0</v>
      </c>
      <c r="AE8" s="11" t="b">
        <f>IF(W8="M",#REF!)</f>
        <v>0</v>
      </c>
      <c r="AF8" s="11" t="b">
        <f>IF(W8="F",#REF!)</f>
        <v>0</v>
      </c>
    </row>
    <row r="9" spans="1:82">
      <c r="A9" s="12" t="s">
        <v>8</v>
      </c>
      <c r="B9" s="149">
        <v>371</v>
      </c>
      <c r="C9" s="93" t="s">
        <v>282</v>
      </c>
      <c r="D9" s="13">
        <v>7.6</v>
      </c>
      <c r="E9" s="13">
        <v>7.3</v>
      </c>
      <c r="F9" s="13">
        <f>SUM(D9:E9)</f>
        <v>14.899999999999999</v>
      </c>
      <c r="G9" s="11">
        <f t="shared" si="0"/>
        <v>7.6</v>
      </c>
      <c r="H9" s="11" t="b">
        <f t="shared" si="1"/>
        <v>0</v>
      </c>
      <c r="I9" s="11">
        <f t="shared" si="2"/>
        <v>7.3</v>
      </c>
      <c r="J9" s="11" t="b">
        <f t="shared" si="3"/>
        <v>0</v>
      </c>
      <c r="L9" s="102"/>
      <c r="M9" s="152"/>
      <c r="N9" s="110"/>
      <c r="O9" s="73"/>
      <c r="P9" s="73"/>
      <c r="Q9" s="73"/>
      <c r="R9" s="11" t="b">
        <f t="shared" si="4"/>
        <v>0</v>
      </c>
      <c r="S9" s="11" t="b">
        <f t="shared" si="5"/>
        <v>0</v>
      </c>
      <c r="T9" s="11" t="b">
        <f t="shared" si="6"/>
        <v>0</v>
      </c>
      <c r="U9" s="11" t="b">
        <f t="shared" si="7"/>
        <v>0</v>
      </c>
      <c r="W9" s="102"/>
      <c r="X9" s="152"/>
      <c r="Y9" s="110"/>
      <c r="Z9" s="68"/>
      <c r="AA9" s="68"/>
      <c r="AB9" s="73"/>
      <c r="AC9" s="11" t="b">
        <f>IF(W9="M",#REF!)</f>
        <v>0</v>
      </c>
      <c r="AD9" s="11" t="b">
        <f>IF(W9="F",#REF!)</f>
        <v>0</v>
      </c>
      <c r="AE9" s="11" t="b">
        <f>IF(W9="M",#REF!)</f>
        <v>0</v>
      </c>
      <c r="AF9" s="11" t="b">
        <f>IF(W9="F",#REF!)</f>
        <v>0</v>
      </c>
    </row>
    <row r="10" spans="1:82">
      <c r="A10" s="12" t="s">
        <v>8</v>
      </c>
      <c r="B10" s="149">
        <v>372</v>
      </c>
      <c r="C10" s="97"/>
      <c r="D10" s="13">
        <v>0</v>
      </c>
      <c r="E10" s="13">
        <v>0</v>
      </c>
      <c r="F10" s="13">
        <f t="shared" ref="F10:F13" si="8">SUM(D10:E10)</f>
        <v>0</v>
      </c>
      <c r="G10" s="11">
        <f t="shared" si="0"/>
        <v>0</v>
      </c>
      <c r="H10" s="11" t="b">
        <f t="shared" si="1"/>
        <v>0</v>
      </c>
      <c r="I10" s="11">
        <f t="shared" si="2"/>
        <v>0</v>
      </c>
      <c r="J10" s="11" t="b">
        <f t="shared" si="3"/>
        <v>0</v>
      </c>
      <c r="L10" s="102"/>
      <c r="M10" s="152"/>
      <c r="N10" s="110"/>
      <c r="O10" s="73"/>
      <c r="P10" s="73"/>
      <c r="Q10" s="73"/>
      <c r="R10" s="11" t="b">
        <f t="shared" si="4"/>
        <v>0</v>
      </c>
      <c r="S10" s="11" t="b">
        <f t="shared" si="5"/>
        <v>0</v>
      </c>
      <c r="T10" s="11" t="b">
        <f t="shared" si="6"/>
        <v>0</v>
      </c>
      <c r="U10" s="11" t="b">
        <f t="shared" si="7"/>
        <v>0</v>
      </c>
      <c r="W10" s="102"/>
      <c r="X10" s="152"/>
      <c r="Y10" s="110"/>
      <c r="Z10" s="68"/>
      <c r="AA10" s="68"/>
      <c r="AB10" s="73"/>
      <c r="AC10" s="11" t="b">
        <f>IF(W10="M",Z8)</f>
        <v>0</v>
      </c>
      <c r="AD10" s="11" t="b">
        <f>IF(W10="F",Z8)</f>
        <v>0</v>
      </c>
      <c r="AE10" s="11" t="b">
        <f>IF(W10="M",AA8)</f>
        <v>0</v>
      </c>
      <c r="AF10" s="11" t="b">
        <f>IF(W10="F",AA8)</f>
        <v>0</v>
      </c>
    </row>
    <row r="11" spans="1:82">
      <c r="A11" s="12" t="s">
        <v>9</v>
      </c>
      <c r="B11" s="149">
        <v>373</v>
      </c>
      <c r="C11" s="93" t="s">
        <v>728</v>
      </c>
      <c r="D11" s="14">
        <v>8.1</v>
      </c>
      <c r="E11" s="14">
        <v>7.1</v>
      </c>
      <c r="F11" s="13">
        <f t="shared" si="8"/>
        <v>15.2</v>
      </c>
      <c r="G11" s="15" t="b">
        <f t="shared" si="0"/>
        <v>0</v>
      </c>
      <c r="H11" s="15">
        <f t="shared" si="1"/>
        <v>8.1</v>
      </c>
      <c r="I11" s="15" t="b">
        <f t="shared" si="2"/>
        <v>0</v>
      </c>
      <c r="J11" s="15">
        <f t="shared" si="3"/>
        <v>7.1</v>
      </c>
      <c r="K11" s="8"/>
      <c r="L11" s="102"/>
      <c r="M11" s="152"/>
      <c r="N11" s="110"/>
      <c r="O11" s="68"/>
      <c r="P11" s="68"/>
      <c r="Q11" s="73"/>
      <c r="R11" s="15" t="b">
        <f t="shared" si="4"/>
        <v>0</v>
      </c>
      <c r="S11" s="15" t="b">
        <f t="shared" si="5"/>
        <v>0</v>
      </c>
      <c r="T11" s="15" t="b">
        <f t="shared" si="6"/>
        <v>0</v>
      </c>
      <c r="U11" s="15" t="b">
        <f t="shared" si="7"/>
        <v>0</v>
      </c>
      <c r="V11" s="8"/>
      <c r="W11" s="102"/>
      <c r="X11" s="152"/>
      <c r="Y11" s="110"/>
      <c r="Z11" s="68"/>
      <c r="AA11" s="68"/>
      <c r="AB11" s="73"/>
      <c r="AC11" s="15" t="b">
        <f>IF(W11="M",Z9)</f>
        <v>0</v>
      </c>
      <c r="AD11" s="15" t="b">
        <f>IF(W11="F",Z9)</f>
        <v>0</v>
      </c>
      <c r="AE11" s="15" t="b">
        <f>IF(W11="M",AA9)</f>
        <v>0</v>
      </c>
      <c r="AF11" s="15" t="b">
        <f>IF(W11="F",AA9)</f>
        <v>0</v>
      </c>
      <c r="AG11" s="8"/>
    </row>
    <row r="12" spans="1:82">
      <c r="A12" s="12" t="s">
        <v>9</v>
      </c>
      <c r="B12" s="149">
        <v>374</v>
      </c>
      <c r="C12" s="93" t="s">
        <v>731</v>
      </c>
      <c r="D12" s="14">
        <v>8.25</v>
      </c>
      <c r="E12" s="14">
        <v>7.2</v>
      </c>
      <c r="F12" s="13">
        <f t="shared" si="8"/>
        <v>15.45</v>
      </c>
      <c r="G12" s="15" t="b">
        <f t="shared" si="0"/>
        <v>0</v>
      </c>
      <c r="H12" s="15">
        <f t="shared" si="1"/>
        <v>8.25</v>
      </c>
      <c r="I12" s="15" t="b">
        <f t="shared" si="2"/>
        <v>0</v>
      </c>
      <c r="J12" s="15">
        <f t="shared" si="3"/>
        <v>7.2</v>
      </c>
      <c r="K12" s="8"/>
      <c r="L12" s="102"/>
      <c r="M12" s="152"/>
      <c r="N12" s="110"/>
      <c r="O12" s="68"/>
      <c r="P12" s="68"/>
      <c r="Q12" s="73"/>
      <c r="R12" s="15" t="b">
        <f t="shared" si="4"/>
        <v>0</v>
      </c>
      <c r="S12" s="15" t="b">
        <f t="shared" si="5"/>
        <v>0</v>
      </c>
      <c r="T12" s="15" t="b">
        <f t="shared" si="6"/>
        <v>0</v>
      </c>
      <c r="U12" s="15" t="b">
        <f t="shared" si="7"/>
        <v>0</v>
      </c>
      <c r="V12" s="8"/>
      <c r="W12" s="102"/>
      <c r="X12" s="152"/>
      <c r="Y12" s="84"/>
      <c r="Z12" s="64"/>
      <c r="AA12" s="64"/>
      <c r="AB12" s="73"/>
      <c r="AC12" s="15" t="b">
        <f>IF(W12="M",Z10)</f>
        <v>0</v>
      </c>
      <c r="AD12" s="15" t="b">
        <f>IF(W12="F",Z10)</f>
        <v>0</v>
      </c>
      <c r="AE12" s="15" t="b">
        <f>IF(W12="M",AA10)</f>
        <v>0</v>
      </c>
      <c r="AF12" s="15" t="b">
        <f>IF(W12="F",AA10)</f>
        <v>0</v>
      </c>
      <c r="AG12" s="8"/>
    </row>
    <row r="13" spans="1:82" ht="16.5" thickBot="1">
      <c r="A13" s="12" t="s">
        <v>9</v>
      </c>
      <c r="B13" s="149">
        <v>375</v>
      </c>
      <c r="C13" s="93" t="s">
        <v>284</v>
      </c>
      <c r="D13" s="14">
        <v>8.4499999999999993</v>
      </c>
      <c r="E13" s="14">
        <v>7.3</v>
      </c>
      <c r="F13" s="13">
        <f t="shared" si="8"/>
        <v>15.75</v>
      </c>
      <c r="G13" s="15" t="b">
        <f t="shared" si="0"/>
        <v>0</v>
      </c>
      <c r="H13" s="15">
        <f t="shared" si="1"/>
        <v>8.4499999999999993</v>
      </c>
      <c r="I13" s="15" t="b">
        <f t="shared" si="2"/>
        <v>0</v>
      </c>
      <c r="J13" s="15">
        <f t="shared" si="3"/>
        <v>7.3</v>
      </c>
      <c r="K13" s="8"/>
      <c r="L13" s="102"/>
      <c r="M13" s="152"/>
      <c r="N13" s="110"/>
      <c r="O13" s="68"/>
      <c r="P13" s="68"/>
      <c r="Q13" s="73"/>
      <c r="R13" s="15" t="b">
        <f t="shared" si="4"/>
        <v>0</v>
      </c>
      <c r="S13" s="15" t="b">
        <f t="shared" si="5"/>
        <v>0</v>
      </c>
      <c r="T13" s="15" t="b">
        <f t="shared" si="6"/>
        <v>0</v>
      </c>
      <c r="U13" s="15" t="b">
        <f t="shared" si="7"/>
        <v>0</v>
      </c>
      <c r="V13" s="8"/>
      <c r="W13" s="102"/>
      <c r="X13" s="152"/>
      <c r="Y13" s="8"/>
      <c r="Z13" s="8"/>
      <c r="AA13" s="18"/>
      <c r="AB13" s="73"/>
      <c r="AC13" s="15" t="b">
        <f>IF(W13="M",Z11)</f>
        <v>0</v>
      </c>
      <c r="AD13" s="15" t="b">
        <f>IF(W13="F",Z11)</f>
        <v>0</v>
      </c>
      <c r="AE13" s="15" t="b">
        <f>IF(W13="M",AA11)</f>
        <v>0</v>
      </c>
      <c r="AF13" s="15" t="b">
        <f>IF(W13="F",AA11)</f>
        <v>0</v>
      </c>
      <c r="AG13" s="8"/>
    </row>
    <row r="14" spans="1:82" ht="16.5" thickBot="1">
      <c r="A14" s="8"/>
      <c r="B14" s="8"/>
      <c r="C14" s="18" t="s">
        <v>10</v>
      </c>
      <c r="D14" s="19">
        <f>G15+H15</f>
        <v>32.550000000000004</v>
      </c>
      <c r="E14" s="19">
        <f>I15+J15</f>
        <v>29</v>
      </c>
      <c r="F14" s="20">
        <f>SUM(D14:E14)</f>
        <v>61.550000000000004</v>
      </c>
      <c r="G14" s="8">
        <f>COUNTIF(A8:A13,"M")</f>
        <v>3</v>
      </c>
      <c r="H14" s="8">
        <f>COUNTIF(A8:A13,"F")</f>
        <v>3</v>
      </c>
      <c r="I14" s="8">
        <f>COUNTIF(A8:A13,"M")</f>
        <v>3</v>
      </c>
      <c r="J14" s="8">
        <f>COUNTIF(A8:A13,"F")</f>
        <v>3</v>
      </c>
      <c r="K14" s="8"/>
      <c r="L14" s="106"/>
      <c r="M14" s="106"/>
      <c r="N14" s="84"/>
      <c r="O14" s="64"/>
      <c r="P14" s="64"/>
      <c r="Q14" s="105"/>
      <c r="R14" s="8">
        <f>COUNTIF(L8:L13,"M")</f>
        <v>0</v>
      </c>
      <c r="S14" s="8">
        <f>COUNTIF(L8:L13,"F")</f>
        <v>0</v>
      </c>
      <c r="T14" s="8">
        <f>COUNTIF(L8:L13,"M")</f>
        <v>0</v>
      </c>
      <c r="U14" s="8">
        <f>COUNTIF(L8:L13,"F")</f>
        <v>0</v>
      </c>
      <c r="V14" s="8"/>
      <c r="W14" s="106"/>
      <c r="X14" s="106"/>
      <c r="AB14" s="105"/>
      <c r="AC14" s="8">
        <f>COUNTIF(W8:W13,"M")</f>
        <v>0</v>
      </c>
      <c r="AD14" s="8">
        <f>COUNTIF(W8:W13,"F")</f>
        <v>0</v>
      </c>
      <c r="AE14" s="8">
        <f>COUNTIF(W8:W13,"M")</f>
        <v>0</v>
      </c>
      <c r="AF14" s="8">
        <f>COUNTIF(W8:W13,"F")</f>
        <v>0</v>
      </c>
      <c r="AG14" s="8"/>
    </row>
    <row r="15" spans="1:82">
      <c r="A15" s="8"/>
      <c r="B15" s="21"/>
      <c r="C15" s="94" t="s">
        <v>1302</v>
      </c>
      <c r="D15" s="8"/>
      <c r="E15" s="18"/>
      <c r="F15" s="22"/>
      <c r="G15" s="23">
        <f>IF(G14=2,SUM(G8:G13),IF(G14=3,SUM(G8:G13)-SMALL(G8:G13,1),IF(G14=4,SUM(G8:G13)-SMALL(G8:G13,1)-SMALL(G8:G13,2))))</f>
        <v>15.85</v>
      </c>
      <c r="H15" s="23">
        <f>IF(H14=2,SUM(H8:H13),IF(H14=3,SUM(H8:H13)-SMALL(H8:H13,1),IF(H14=4,SUM(H8:H13)-SMALL(H8:H13,1)-SMALL(H8:H13,2))))</f>
        <v>16.700000000000003</v>
      </c>
      <c r="I15" s="23">
        <f>IF(I14=2,SUM(I8:I13),IF(I14=3,SUM(I8:I13)-SMALL(I8:I13,1),IF(I14=4,SUM(I8:I13)-SMALL(I8:I13,1)-SMALL(I8:I13,2))))</f>
        <v>14.5</v>
      </c>
      <c r="J15" s="23">
        <f>IF(J14=2,SUM(J8:J13),IF(J14=3,SUM(J8:J13)-SMALL(J8:J13,1),IF(J14=4,SUM(J8:J13)-SMALL(J8:J13,1)-SMALL(J8:J13,2))))</f>
        <v>14.500000000000002</v>
      </c>
      <c r="K15" s="8"/>
      <c r="L15" s="106"/>
      <c r="M15" s="244"/>
      <c r="N15" s="106"/>
      <c r="O15" s="106"/>
      <c r="P15" s="84"/>
      <c r="Q15" s="85"/>
      <c r="R15" s="23" t="b">
        <f>IF(R14=2,SUM(R8:R13),IF(R14=3,SUM(R8:R13)-SMALL(R8:R13,1),IF(R14=4,SUM(R8:R13)-SMALL(R8:R13,1)-SMALL(R8:R13,2))))</f>
        <v>0</v>
      </c>
      <c r="S15" s="23" t="b">
        <f>IF(S14=2,SUM(S8:S13),IF(S14=3,SUM(S8:S13)-SMALL(S8:S13,1),IF(S14=4,SUM(S8:S13)-SMALL(S8:S13,1)-SMALL(S8:S13,2))))</f>
        <v>0</v>
      </c>
      <c r="T15" s="23" t="b">
        <f>IF(T14=2,SUM(T8:T13),IF(T14=3,SUM(T8:T13)-SMALL(T8:T13,1),IF(T14=4,SUM(T8:T13)-SMALL(T8:T13,1)-SMALL(T8:T13,2))))</f>
        <v>0</v>
      </c>
      <c r="U15" s="23" t="b">
        <f>IF(U14=2,SUM(U8:U13),IF(U14=3,SUM(U8:U13)-SMALL(U8:U13,1),IF(U14=4,SUM(U8:U13)-SMALL(U8:U13,1)-SMALL(U8:U13,2))))</f>
        <v>0</v>
      </c>
      <c r="V15" s="8"/>
      <c r="W15" s="8"/>
      <c r="X15" s="21"/>
      <c r="Y15" s="8"/>
      <c r="Z15" s="8"/>
      <c r="AA15" s="8"/>
      <c r="AB15" s="22"/>
      <c r="AC15" s="23" t="b">
        <f>IF(AC14=2,SUM(AC8:AC13),IF(AC14=3,SUM(AC8:AC13)-SMALL(AC8:AC13,1),IF(AC14=4,SUM(AC8:AC13)-SMALL(AC8:AC13,1)-SMALL(AC8:AC13,2))))</f>
        <v>0</v>
      </c>
      <c r="AD15" s="23" t="b">
        <f>IF(AD14=2,SUM(AD8:AD13),IF(AD14=3,SUM(AD8:AD13)-SMALL(AD8:AD13,1),IF(AD14=4,SUM(AD8:AD13)-SMALL(AD8:AD13,1)-SMALL(AD8:AD13,2))))</f>
        <v>0</v>
      </c>
      <c r="AE15" s="23" t="b">
        <f>IF(AE14=2,SUM(AE8:AE13),IF(AE14=3,SUM(AE8:AE13)-SMALL(AE8:AE13,1),IF(AE14=4,SUM(AE8:AE13)-SMALL(AE8:AE13,1)-SMALL(AE8:AE13,2))))</f>
        <v>0</v>
      </c>
      <c r="AF15" s="23" t="b">
        <f>IF(AF14=2,SUM(AF8:AF13),IF(AF14=3,SUM(AF8:AF13)-SMALL(AF8:AF13,1),IF(AF14=4,SUM(AF8:AF13)-SMALL(AF8:AF13,1)-SMALL(AF8:AF13,2))))</f>
        <v>0</v>
      </c>
      <c r="AG15" s="8"/>
    </row>
    <row r="16" spans="1:82" s="8" customFormat="1">
      <c r="A16" s="111"/>
      <c r="B16" s="111"/>
      <c r="C16" s="111"/>
      <c r="D16" s="111"/>
      <c r="E16" s="111"/>
      <c r="F16" s="111"/>
      <c r="L16" s="111"/>
      <c r="M16" s="111"/>
      <c r="Q16" s="111"/>
      <c r="Y16"/>
      <c r="Z16"/>
      <c r="AA16"/>
    </row>
    <row r="17" spans="1:28">
      <c r="A17" s="102"/>
      <c r="B17" s="152"/>
      <c r="C17" s="110"/>
      <c r="D17" s="73"/>
      <c r="E17" s="73"/>
      <c r="F17" s="73"/>
      <c r="G17" s="112" t="b">
        <f t="shared" ref="G17:G22" si="9">IF(A17="M",D17)</f>
        <v>0</v>
      </c>
      <c r="H17" s="15" t="b">
        <f t="shared" ref="H17:H22" si="10">IF(A17="F",D17)</f>
        <v>0</v>
      </c>
      <c r="I17" s="15" t="b">
        <f t="shared" ref="I17:I22" si="11">IF(A17="M",E17)</f>
        <v>0</v>
      </c>
      <c r="J17" s="15" t="b">
        <f t="shared" ref="J17:J22" si="12">IF(A17="F",E17)</f>
        <v>0</v>
      </c>
      <c r="K17" s="8"/>
      <c r="L17" s="102"/>
      <c r="M17" s="152"/>
      <c r="Q17" s="73"/>
      <c r="R17" s="112"/>
      <c r="S17" s="15"/>
      <c r="T17" s="15"/>
      <c r="U17" s="15"/>
      <c r="V17" s="8"/>
      <c r="W17" s="8"/>
      <c r="X17" s="8"/>
      <c r="AB17" s="8"/>
    </row>
    <row r="18" spans="1:28">
      <c r="A18" s="102"/>
      <c r="B18" s="152"/>
      <c r="C18" s="110"/>
      <c r="D18" s="73"/>
      <c r="E18" s="73"/>
      <c r="F18" s="73"/>
      <c r="G18" s="15" t="b">
        <f t="shared" si="9"/>
        <v>0</v>
      </c>
      <c r="H18" s="15" t="b">
        <f t="shared" si="10"/>
        <v>0</v>
      </c>
      <c r="I18" s="15" t="b">
        <f t="shared" si="11"/>
        <v>0</v>
      </c>
      <c r="J18" s="15" t="b">
        <f t="shared" si="12"/>
        <v>0</v>
      </c>
      <c r="K18" s="8"/>
      <c r="L18" s="102"/>
      <c r="M18" s="152"/>
      <c r="Q18" s="73"/>
      <c r="R18" s="15"/>
      <c r="S18" s="15"/>
      <c r="T18" s="15"/>
      <c r="U18" s="15"/>
      <c r="V18" s="8"/>
      <c r="X18" s="8"/>
      <c r="AB18" s="8"/>
    </row>
    <row r="19" spans="1:28">
      <c r="A19" s="102"/>
      <c r="B19" s="152"/>
      <c r="C19" s="110"/>
      <c r="D19" s="73"/>
      <c r="E19" s="73"/>
      <c r="F19" s="73"/>
      <c r="G19" s="15" t="b">
        <f t="shared" si="9"/>
        <v>0</v>
      </c>
      <c r="H19" s="15" t="b">
        <f t="shared" si="10"/>
        <v>0</v>
      </c>
      <c r="I19" s="15" t="b">
        <f t="shared" si="11"/>
        <v>0</v>
      </c>
      <c r="J19" s="15" t="b">
        <f t="shared" si="12"/>
        <v>0</v>
      </c>
      <c r="K19" s="8"/>
      <c r="L19" s="102"/>
      <c r="M19" s="152"/>
      <c r="Q19" s="73"/>
      <c r="R19" s="15"/>
      <c r="S19" s="15"/>
      <c r="T19" s="15"/>
      <c r="U19" s="15"/>
      <c r="V19" s="8"/>
      <c r="X19" s="8"/>
      <c r="AB19" s="8"/>
    </row>
    <row r="20" spans="1:28">
      <c r="A20" s="102"/>
      <c r="B20" s="152"/>
      <c r="C20" s="110"/>
      <c r="D20" s="68"/>
      <c r="E20" s="68"/>
      <c r="F20" s="73"/>
      <c r="G20" s="15" t="b">
        <f t="shared" si="9"/>
        <v>0</v>
      </c>
      <c r="H20" s="15" t="b">
        <f t="shared" si="10"/>
        <v>0</v>
      </c>
      <c r="I20" s="15" t="b">
        <f t="shared" si="11"/>
        <v>0</v>
      </c>
      <c r="J20" s="15" t="b">
        <f t="shared" si="12"/>
        <v>0</v>
      </c>
      <c r="K20" s="8"/>
      <c r="L20" s="102"/>
      <c r="M20" s="152"/>
      <c r="N20" s="110"/>
      <c r="O20" s="68"/>
      <c r="P20" s="68"/>
      <c r="Q20" s="73"/>
      <c r="R20" s="15"/>
      <c r="S20" s="15"/>
      <c r="T20" s="15"/>
      <c r="U20" s="15"/>
      <c r="V20" s="8"/>
      <c r="X20" s="8"/>
      <c r="AB20" s="8"/>
    </row>
    <row r="21" spans="1:28">
      <c r="A21" s="102"/>
      <c r="B21" s="152"/>
      <c r="C21" s="110"/>
      <c r="D21" s="68"/>
      <c r="E21" s="68"/>
      <c r="F21" s="73"/>
      <c r="G21" t="b">
        <f t="shared" si="9"/>
        <v>0</v>
      </c>
      <c r="H21" t="b">
        <f t="shared" si="10"/>
        <v>0</v>
      </c>
      <c r="I21" t="b">
        <f t="shared" si="11"/>
        <v>0</v>
      </c>
      <c r="J21" t="b">
        <f t="shared" si="12"/>
        <v>0</v>
      </c>
      <c r="L21" s="102"/>
      <c r="M21" s="152"/>
      <c r="N21" s="84"/>
      <c r="O21" s="64"/>
      <c r="P21" s="64"/>
      <c r="Q21" s="73"/>
    </row>
    <row r="22" spans="1:28">
      <c r="A22" s="102"/>
      <c r="B22" s="152"/>
      <c r="C22" s="110"/>
      <c r="D22" s="68"/>
      <c r="E22" s="68"/>
      <c r="F22" s="73"/>
      <c r="G22" t="b">
        <f t="shared" si="9"/>
        <v>0</v>
      </c>
      <c r="H22" t="b">
        <f t="shared" si="10"/>
        <v>0</v>
      </c>
      <c r="I22" t="b">
        <f t="shared" si="11"/>
        <v>0</v>
      </c>
      <c r="J22" t="b">
        <f t="shared" si="12"/>
        <v>0</v>
      </c>
      <c r="L22" s="102"/>
      <c r="M22" s="152"/>
      <c r="Q22" s="73"/>
    </row>
    <row r="23" spans="1:28">
      <c r="A23" s="106"/>
      <c r="B23" s="106"/>
      <c r="C23" s="84"/>
      <c r="D23" s="64"/>
      <c r="E23" s="64"/>
      <c r="F23" s="105"/>
      <c r="G23">
        <f>COUNTIF(A17:A22,"M")</f>
        <v>0</v>
      </c>
      <c r="H23">
        <f>COUNTIF(A17:A22,"F")</f>
        <v>0</v>
      </c>
      <c r="I23">
        <f>COUNTIF(A17:A22,"M")</f>
        <v>0</v>
      </c>
      <c r="J23">
        <f>COUNTIF(A17:A22,"F")</f>
        <v>0</v>
      </c>
      <c r="L23" s="106"/>
      <c r="M23" s="106"/>
      <c r="Q23" s="105"/>
    </row>
    <row r="24" spans="1:28">
      <c r="C24" s="70"/>
      <c r="G24" t="b">
        <f>IF(G23=2,SUM(G17:G22),IF(G23=3,SUM(G17:G22)-SMALL(G17:G22,1),IF(G23=4,SUM(G17:G22)-SMALL(G17:G22,1)-SMALL(G17:G22,2))))</f>
        <v>0</v>
      </c>
      <c r="H24" t="b">
        <f>IF(H23=2,SUM(H17:H22),IF(H23=3,SUM(H17:H22)-SMALL(H17:H22,1),IF(H23=4,SUM(H17:H22)-SMALL(H17:H22,1)-SMALL(H17:H22,2))))</f>
        <v>0</v>
      </c>
      <c r="I24" t="b">
        <f>IF(I23=2,SUM(I17:I22),IF(I23=3,SUM(I17:I22)-SMALL(I17:I22,1),IF(I23=4,SUM(I17:I22)-SMALL(I17:I22,1)-SMALL(I17:I22,2))))</f>
        <v>0</v>
      </c>
      <c r="J24" t="b">
        <f>IF(J23=2,SUM(J17:J22),IF(J23=3,SUM(J17:J22)-SMALL(J17:J22,1),IF(J23=4,SUM(J17:J22)-SMALL(J17:J22,1)-SMALL(J17:J22,2))))</f>
        <v>0</v>
      </c>
    </row>
    <row r="25" spans="1:28">
      <c r="C25" s="70"/>
    </row>
    <row r="26" spans="1:28">
      <c r="C26" s="70"/>
    </row>
  </sheetData>
  <mergeCells count="4">
    <mergeCell ref="A1:AB1"/>
    <mergeCell ref="A2:AB2"/>
    <mergeCell ref="L4:O4"/>
    <mergeCell ref="A6:F6"/>
  </mergeCells>
  <phoneticPr fontId="21" type="noConversion"/>
  <conditionalFormatting sqref="AA7">
    <cfRule type="cellIs" dxfId="914" priority="1" operator="equal">
      <formula>3</formula>
    </cfRule>
    <cfRule type="cellIs" dxfId="913" priority="2" operator="equal">
      <formula>2</formula>
    </cfRule>
    <cfRule type="cellIs" dxfId="912" priority="3" operator="equal">
      <formula>1</formula>
    </cfRule>
  </conditionalFormatting>
  <pageMargins left="0.7" right="0.7" top="0.75" bottom="0.75" header="0.3" footer="0.3"/>
  <pageSetup paperSize="9" scale="71" orientation="landscape" horizontalDpi="4294967292" verticalDpi="4294967292"/>
  <colBreaks count="1" manualBreakCount="1">
    <brk id="34" max="1048575" man="1"/>
  </colBreak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BEG 9&amp;U B</vt:lpstr>
      <vt:lpstr>BEG 9&amp;U G</vt:lpstr>
      <vt:lpstr>BEG 9&amp;U MX</vt:lpstr>
      <vt:lpstr>BEG 11&amp;U B</vt:lpstr>
      <vt:lpstr>BEG 11&amp;U G</vt:lpstr>
      <vt:lpstr>BEG 11&amp;U MX</vt:lpstr>
      <vt:lpstr>BEG 13&amp;U B</vt:lpstr>
      <vt:lpstr>BEG 13&amp;U G</vt:lpstr>
      <vt:lpstr>BEG 13&amp;U MX</vt:lpstr>
      <vt:lpstr>BEG 15&amp;U G</vt:lpstr>
      <vt:lpstr>BEG 16&amp;A M</vt:lpstr>
      <vt:lpstr>BEG 16&amp;A L</vt:lpstr>
      <vt:lpstr>INT 9&amp;U B</vt:lpstr>
      <vt:lpstr>INT 9&amp;U G</vt:lpstr>
      <vt:lpstr>INT 9&amp;U MX</vt:lpstr>
      <vt:lpstr>INT 11&amp;U B</vt:lpstr>
      <vt:lpstr>INT 11&amp;U G</vt:lpstr>
      <vt:lpstr>INT 11&amp;U MX</vt:lpstr>
      <vt:lpstr>INT 13&amp;U B</vt:lpstr>
      <vt:lpstr>INT 13&amp;U G</vt:lpstr>
      <vt:lpstr>INT 13&amp;U MX</vt:lpstr>
      <vt:lpstr>INT 15&amp;U B</vt:lpstr>
      <vt:lpstr>INT 15&amp;U G </vt:lpstr>
      <vt:lpstr>INT 15&amp;U MX</vt:lpstr>
      <vt:lpstr>INT 16&amp;A M</vt:lpstr>
      <vt:lpstr>INT 16&amp;A L</vt:lpstr>
      <vt:lpstr>INT 16&amp;A MX</vt:lpstr>
      <vt:lpstr>ADV 9&amp;U B</vt:lpstr>
      <vt:lpstr>ADV 9&amp;U G</vt:lpstr>
      <vt:lpstr>ADV 9&amp;U MX</vt:lpstr>
      <vt:lpstr>ADV 11&amp;U B</vt:lpstr>
      <vt:lpstr>ADV 11&amp;U G</vt:lpstr>
      <vt:lpstr>ADV 11&amp;U MX</vt:lpstr>
      <vt:lpstr>ADV 13&amp;U B</vt:lpstr>
      <vt:lpstr>ADV 13&amp;U G</vt:lpstr>
      <vt:lpstr>ADV 13&amp;U MX</vt:lpstr>
      <vt:lpstr>ADV 15&amp;U B</vt:lpstr>
      <vt:lpstr>ADV 15&amp;U G</vt:lpstr>
      <vt:lpstr>ADV 15&amp;U MX</vt:lpstr>
      <vt:lpstr>ADV 16&amp;A M</vt:lpstr>
      <vt:lpstr>ADV 16&amp;A L</vt:lpstr>
      <vt:lpstr>DISABILITY </vt:lpstr>
      <vt:lpstr>BEG GF TROPHY</vt:lpstr>
      <vt:lpstr>INT BOYS GF TROPHY</vt:lpstr>
      <vt:lpstr>INT GIRLS GF TROPHY</vt:lpstr>
      <vt:lpstr>ADV GF TROPHY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Owen</dc:creator>
  <cp:lastModifiedBy>mark</cp:lastModifiedBy>
  <cp:lastPrinted>2017-03-18T12:01:13Z</cp:lastPrinted>
  <dcterms:created xsi:type="dcterms:W3CDTF">2012-03-01T12:35:22Z</dcterms:created>
  <dcterms:modified xsi:type="dcterms:W3CDTF">2017-03-18T21:59:55Z</dcterms:modified>
</cp:coreProperties>
</file>